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9180" tabRatio="926" activeTab="2"/>
  </bookViews>
  <sheets>
    <sheet name="laborator-punctaje" sheetId="1" r:id="rId1"/>
    <sheet name="anatomie.patologica-punctaje " sheetId="2" r:id="rId2"/>
    <sheet name="radiologie punctaj total" sheetId="3" r:id="rId3"/>
  </sheets>
  <externalReferences>
    <externalReference r:id="rId6"/>
  </externalReferences>
  <definedNames>
    <definedName name="_xlnm.Print_Area" localSheetId="1">'anatomie.patologica-punctaje '!$A$8:$C$9</definedName>
    <definedName name="_xlnm.Print_Area" localSheetId="0">'laborator-punctaje'!$A$1:$C$53</definedName>
    <definedName name="_xlnm.Print_Area" localSheetId="2">'radiologie punctaj total'!$A$3:$S$32</definedName>
    <definedName name="_xlnm.Print_Titles" localSheetId="1">'anatomie.patologica-punctaje '!$A:$B,'anatomie.patologica-punctaje '!#REF!</definedName>
    <definedName name="_xlnm.Print_Titles" localSheetId="0">'laborator-punctaje'!$A:$B,'laborator-punctaje'!$7:$8</definedName>
    <definedName name="_xlnm.Print_Titles" localSheetId="2">'radiologie punctaj total'!$A:$B,'radiologie punctaj total'!$6:$7</definedName>
  </definedNames>
  <calcPr fullCalcOnLoad="1"/>
</workbook>
</file>

<file path=xl/sharedStrings.xml><?xml version="1.0" encoding="utf-8"?>
<sst xmlns="http://schemas.openxmlformats.org/spreadsheetml/2006/main" count="487" uniqueCount="350">
  <si>
    <t>LABORATOARE ANALIZE MEDICALE</t>
  </si>
  <si>
    <t>NR.CRT.</t>
  </si>
  <si>
    <t>CONTR.P</t>
  </si>
  <si>
    <t>OBS</t>
  </si>
  <si>
    <t>RADIOLOGIE SI IMAGISTICA</t>
  </si>
  <si>
    <t>Nr.crt.</t>
  </si>
  <si>
    <t>CONTR. P</t>
  </si>
  <si>
    <t>P0007</t>
  </si>
  <si>
    <t>SC IOROVI MEDICA IMPEX SRL</t>
  </si>
  <si>
    <t>P0013</t>
  </si>
  <si>
    <t>Institutul National de Geriatrie şi Gerontologie Ana Aslan</t>
  </si>
  <si>
    <t>P0027</t>
  </si>
  <si>
    <t>P0035</t>
  </si>
  <si>
    <t>S C SYNEVO ROMANIA S R L</t>
  </si>
  <si>
    <t>P0037</t>
  </si>
  <si>
    <t>SC MED LIFE SA</t>
  </si>
  <si>
    <t>P0046</t>
  </si>
  <si>
    <t>SC ALFA MEDICAL SERVICES SRL</t>
  </si>
  <si>
    <t>P0059</t>
  </si>
  <si>
    <t>MEDINST SRL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</si>
  <si>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</si>
  <si>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</si>
  <si>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</si>
  <si>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</si>
  <si>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</si>
  <si>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</si>
  <si>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</si>
  <si>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</si>
  <si>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</si>
  <si>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</si>
  <si>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P0081</t>
  </si>
  <si>
    <t>SC LOTUS MED SRL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</si>
  <si>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</si>
  <si>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</si>
  <si>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</si>
  <si>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</si>
  <si>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</si>
  <si>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</si>
  <si>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</si>
  <si>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</si>
  <si>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P0099</t>
  </si>
  <si>
    <t>SC LOTUS MEDICA 2002 SRL</t>
  </si>
  <si>
    <t>P0114</t>
  </si>
  <si>
    <t>SPITALUL CLINIC COLENTINA</t>
  </si>
  <si>
    <t>P0122</t>
  </si>
  <si>
    <t>SC MEDICOR INTERNATIONAL SRL</t>
  </si>
  <si>
    <t>P0124</t>
  </si>
  <si>
    <t>CENTRUL MEDICAL MATEI BASARAB S.R.L.</t>
  </si>
  <si>
    <t>P0125</t>
  </si>
  <si>
    <t>S.C. VALCRI MEDICAL S.R.L.</t>
  </si>
  <si>
    <t>P0132</t>
  </si>
  <si>
    <t>SC CENTRUL MEDICAL DELFINULUI SRL</t>
  </si>
  <si>
    <t>P0136</t>
  </si>
  <si>
    <t>S.C. HUMANITAS MEDICAL S.R.L.</t>
  </si>
  <si>
    <t>P0143</t>
  </si>
  <si>
    <t>S.C. CRIS MEDICAL S.R.L.</t>
  </si>
  <si>
    <t>P0147</t>
  </si>
  <si>
    <t>C.M.I. DR. STOICA MARIANA</t>
  </si>
  <si>
    <t>P0153</t>
  </si>
  <si>
    <t>S.C. LABORATOARELE SYNLAB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</si>
  <si>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</si>
  <si>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</si>
  <si>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</si>
  <si>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</si>
  <si>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</si>
  <si>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</si>
  <si>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</si>
  <si>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</si>
  <si>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</si>
  <si>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</si>
  <si>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</si>
  <si>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</si>
  <si>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</si>
  <si>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P0180</t>
  </si>
  <si>
    <t>SC SAN MED 2001 SRL</t>
  </si>
  <si>
    <t>P0189</t>
  </si>
  <si>
    <t>CENTRUL MEDICAL PANDURI SRL</t>
  </si>
  <si>
    <t>P0194</t>
  </si>
  <si>
    <t>EUROSANITY SRL</t>
  </si>
  <si>
    <t>P0204</t>
  </si>
  <si>
    <t>ODELGA OPERATOR SRL</t>
  </si>
  <si>
    <t>P0208</t>
  </si>
  <si>
    <t>CENTRUL MEDICAL AIDE-SANTE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</si>
  <si>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</si>
  <si>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</si>
  <si>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</si>
  <si>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</si>
  <si>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</si>
  <si>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</si>
  <si>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</si>
  <si>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</si>
  <si>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</si>
  <si>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</si>
  <si>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</si>
  <si>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</si>
  <si>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</si>
  <si>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</si>
  <si>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P0236</t>
  </si>
  <si>
    <t>SC ANIMA SPECIALITY MEDICAL SERVICES SRL</t>
  </si>
  <si>
    <t>P0242</t>
  </si>
  <si>
    <t>SC MATE-FIN MEDICAL SRL</t>
  </si>
  <si>
    <t>P0244</t>
  </si>
  <si>
    <t>MUNOR CRIS MEDICA S.R.L.</t>
  </si>
  <si>
    <t>P0248</t>
  </si>
  <si>
    <t>SC MEDLIFE SA BUCURESTI - SUCURSALA BUCURESTI</t>
  </si>
  <si>
    <t>P0251</t>
  </si>
  <si>
    <t>CLINICA MICOMI SRL</t>
  </si>
  <si>
    <t>P0256</t>
  </si>
  <si>
    <t>CM POLICLINICO DI MONZA SRL</t>
  </si>
  <si>
    <t>P0258</t>
  </si>
  <si>
    <t>CDT PROVITA SRL</t>
  </si>
  <si>
    <t>P0259</t>
  </si>
  <si>
    <t>DELTA HEALTH CARE SRL</t>
  </si>
  <si>
    <t>P0262</t>
  </si>
  <si>
    <t>HEALTH SERVICES COMPANY SRL</t>
  </si>
  <si>
    <t>P0263</t>
  </si>
  <si>
    <t>ST.LUKAS SRL</t>
  </si>
  <si>
    <t>P0264</t>
  </si>
  <si>
    <t>SC C.M.I. MARINESCU DANA SRL</t>
  </si>
  <si>
    <t>P0268</t>
  </si>
  <si>
    <t>Sp.Cl. N.MALAXA</t>
  </si>
  <si>
    <t>P0269</t>
  </si>
  <si>
    <t>ZOSTALAB SRL</t>
  </si>
  <si>
    <t>P0270</t>
  </si>
  <si>
    <t>P0274</t>
  </si>
  <si>
    <t>SC MEDICAL EXPERT CLINIC SRL</t>
  </si>
  <si>
    <t>P0276</t>
  </si>
  <si>
    <t>BAUMAN CONSTRUCT SRL</t>
  </si>
  <si>
    <t>P0281</t>
  </si>
  <si>
    <t>SP.PANTELIMON</t>
  </si>
  <si>
    <t>P0285</t>
  </si>
  <si>
    <t>SC PERSONAL GENETICS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</si>
  <si>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</si>
  <si>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</si>
  <si>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</si>
  <si>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</si>
  <si>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</si>
  <si>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</si>
  <si>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P0297</t>
  </si>
  <si>
    <t>INSTITUTUL DE ENDOCRINOLOGIE "DR. C. I. PARHON" BUCURESTI</t>
  </si>
  <si>
    <t>P0298</t>
  </si>
  <si>
    <t>SC IDS HISTRIA SRL</t>
  </si>
  <si>
    <t>TOTAL</t>
  </si>
  <si>
    <t>DEN.FURNIZOR</t>
  </si>
  <si>
    <t>CRITERIUL EVALUARE</t>
  </si>
  <si>
    <t>PUNCTAJ RESURSE UMANE</t>
  </si>
  <si>
    <t>PUNCTAJ CAPACITATE TEHNICA</t>
  </si>
  <si>
    <t>PUNCTAJ LOGISTICA</t>
  </si>
  <si>
    <t>PUNCTAJ DISPONIBILITATE</t>
  </si>
  <si>
    <t>PUNCTAJE CONFORM CRITERII ANEXA 20</t>
  </si>
  <si>
    <t>CONTRACTE PARACLINIC</t>
  </si>
  <si>
    <t>RADIOLOGIE CONVENTIONALA</t>
  </si>
  <si>
    <t>INALTA PERFORMANTA</t>
  </si>
  <si>
    <t>REBREANU DOAR RC</t>
  </si>
  <si>
    <t>PLEVNEI DOAR RC</t>
  </si>
  <si>
    <t>FUNDATIA RENASTEREA</t>
  </si>
  <si>
    <t>GROZOVICI DOAR IP</t>
  </si>
  <si>
    <t>doar laborator</t>
  </si>
  <si>
    <t>FURNIZOR</t>
  </si>
  <si>
    <t>CAPACITATE TEHNICA</t>
  </si>
  <si>
    <t>RESURSE UMANE</t>
  </si>
  <si>
    <t>TOTAL LOGISTICA</t>
  </si>
  <si>
    <t>SR EN ISO/CEI  15189</t>
  </si>
  <si>
    <t>CM ROMAR</t>
  </si>
  <si>
    <t>C.N.M.R.N. "Nicolae Robanescu"</t>
  </si>
  <si>
    <t>ANATOMIE PATOLOGICA</t>
  </si>
  <si>
    <t>S.C. LUKAS CLINIC S.R.L.</t>
  </si>
  <si>
    <t>CRITERIUL EVALUARE 27.04.2018</t>
  </si>
  <si>
    <t>CRITERIUL CALITATE-27.04.2018</t>
  </si>
  <si>
    <t>Participare la scheme de testare a competentei pentru laboratoarele de analize medicale- participari 2017- punctaj</t>
  </si>
  <si>
    <t>S.C. DOM VISTA S.R.L.</t>
  </si>
  <si>
    <t>P0308</t>
  </si>
  <si>
    <t>P0239</t>
  </si>
  <si>
    <t xml:space="preserve">C.S. RATB </t>
  </si>
  <si>
    <t>S.C. ALFA MEDICAL S.R.L.</t>
  </si>
  <si>
    <t>P0303</t>
  </si>
  <si>
    <t>S.C. ONE LIFE S.R.L.</t>
  </si>
  <si>
    <t>P0305</t>
  </si>
  <si>
    <t>SPITALUL CLINIC UNIVERSITAR BUCURESTI</t>
  </si>
  <si>
    <t>P0076</t>
  </si>
  <si>
    <t>S.C. BIO TERRA MED S.R.L.</t>
  </si>
  <si>
    <t>P0090</t>
  </si>
  <si>
    <t>S.C. ALCOS 99 S.R.L.</t>
  </si>
  <si>
    <t>P0118</t>
  </si>
  <si>
    <t>SC CENTRUL MEDICAL SF. ALEXANDRU SRL</t>
  </si>
  <si>
    <t>P0138</t>
  </si>
  <si>
    <t>SC BINAFARM SRL</t>
  </si>
  <si>
    <t>P0234</t>
  </si>
  <si>
    <t>SC MEDIC LINE BUSINESS HEALTH SRL</t>
  </si>
  <si>
    <t>P0238</t>
  </si>
  <si>
    <t>SC NICOMED SRL</t>
  </si>
  <si>
    <t>P0267</t>
  </si>
  <si>
    <t>SC MEDICAL DAY SRL</t>
  </si>
  <si>
    <t>P0271</t>
  </si>
  <si>
    <t>BIOTECH SRL</t>
  </si>
  <si>
    <t>P0280</t>
  </si>
  <si>
    <t>SC BROTAC LABOR FARM SRL</t>
  </si>
  <si>
    <t>P0283</t>
  </si>
  <si>
    <t>SC ACT MEDICA  SRL</t>
  </si>
  <si>
    <t>P0289</t>
  </si>
  <si>
    <t>LABORATOR CUZA</t>
  </si>
  <si>
    <t>P0290</t>
  </si>
  <si>
    <t>SC BLUMED ESTET SRL</t>
  </si>
  <si>
    <t>FELIX DOAR IP</t>
  </si>
  <si>
    <t>INTER HEALTH SYSTEMS SA</t>
  </si>
  <si>
    <t>SC PULS MEDICA SRL</t>
  </si>
  <si>
    <t>P0044</t>
  </si>
  <si>
    <t>SC MEDCENTER SRL</t>
  </si>
  <si>
    <t>P0082</t>
  </si>
  <si>
    <t>COLTEA</t>
  </si>
  <si>
    <t>P0098</t>
  </si>
  <si>
    <t>SP.COLTEA</t>
  </si>
  <si>
    <t>P0109</t>
  </si>
  <si>
    <t>SC FOCUS LAB PLUS SRL</t>
  </si>
  <si>
    <t>SC NICOLE CDTM SRL</t>
  </si>
  <si>
    <t>P0117</t>
  </si>
  <si>
    <t>SC NICOLE CDTM</t>
  </si>
  <si>
    <t>SC LIL MED SRL</t>
  </si>
  <si>
    <t>P0121</t>
  </si>
  <si>
    <t>SC AUSTROMED SRL</t>
  </si>
  <si>
    <t>P0123</t>
  </si>
  <si>
    <t>SC CENTRUL MEDICAL UNIREA SRL</t>
  </si>
  <si>
    <t>P0127</t>
  </si>
  <si>
    <t>CLINICA LIFE MED SRL</t>
  </si>
  <si>
    <t>P0139</t>
  </si>
  <si>
    <t>SC CLINICA LIFE MED</t>
  </si>
  <si>
    <t>SC LABORETICA SRL</t>
  </si>
  <si>
    <t>P0155</t>
  </si>
  <si>
    <t>SC AFIDEEA ROMANIA</t>
  </si>
  <si>
    <t>P0129</t>
  </si>
  <si>
    <t>SC CENTRUL MEDICAL APOLO SRL</t>
  </si>
  <si>
    <t>P0182</t>
  </si>
  <si>
    <t xml:space="preserve">SC CENTRUL MEDICAL  APOLO </t>
  </si>
  <si>
    <t>SC TOTAL RADIOLOGY</t>
  </si>
  <si>
    <t>P0181</t>
  </si>
  <si>
    <t>SC MICROMED CLINIC SRL</t>
  </si>
  <si>
    <t>P0186</t>
  </si>
  <si>
    <t>SC CENTRUL MEDICAL SANATATEA TA</t>
  </si>
  <si>
    <t>P0191</t>
  </si>
  <si>
    <t>SC DISCOVERY CLINIC SRL</t>
  </si>
  <si>
    <t>P0213</t>
  </si>
  <si>
    <t>SC DISCOVERY SRL</t>
  </si>
  <si>
    <t>SC MEDICOVER SRL</t>
  </si>
  <si>
    <t>P0231</t>
  </si>
  <si>
    <t>SC EGOTEST SRL</t>
  </si>
  <si>
    <t>P0250</t>
  </si>
  <si>
    <t>SC EGOSTEST SRL</t>
  </si>
  <si>
    <t>SC PHOENIX IMAGISTIC CENTER SRL</t>
  </si>
  <si>
    <t>P0247</t>
  </si>
  <si>
    <t>FUNDATIA VICTOR BABES</t>
  </si>
  <si>
    <t>P0261</t>
  </si>
  <si>
    <t>SC ONCOTEAM DIAGNOSTIC</t>
  </si>
  <si>
    <t>P0275</t>
  </si>
  <si>
    <t>CENTRUL MEDICAL MH</t>
  </si>
  <si>
    <t>P0278</t>
  </si>
  <si>
    <t>SPITALUL CLINIC CF 2</t>
  </si>
  <si>
    <t>P0282</t>
  </si>
  <si>
    <t xml:space="preserve">SC CM  PROGRESUL </t>
  </si>
  <si>
    <t>P0291</t>
  </si>
  <si>
    <t>P0287</t>
  </si>
  <si>
    <t>P0301</t>
  </si>
  <si>
    <t>INMSC ALESSANDRU RUSESCU</t>
  </si>
  <si>
    <t>P0296</t>
  </si>
  <si>
    <t>SC MEDICOVER HOSPITAL SRL</t>
  </si>
  <si>
    <t>P0254</t>
  </si>
  <si>
    <t>SPITALUL SFANTUL IOAN</t>
  </si>
  <si>
    <t>SPITALUL SF IOAN</t>
  </si>
  <si>
    <t>SPITALUL COLTEA</t>
  </si>
  <si>
    <t>INSTITUTUL ONCOLOGIC AL TRESTIOREANU</t>
  </si>
  <si>
    <t>P0302</t>
  </si>
  <si>
    <t>P0304</t>
  </si>
  <si>
    <t>SC LUMICLINIC SRL</t>
  </si>
  <si>
    <t>P0310</t>
  </si>
  <si>
    <t>P0002</t>
  </si>
  <si>
    <t>SCM POLI-MED APACA</t>
  </si>
  <si>
    <t>P0006</t>
  </si>
  <si>
    <t>SC HIPOCRAT 2000 SRL</t>
  </si>
  <si>
    <t>P0086</t>
  </si>
  <si>
    <t>S.C. MEDICTEST S.R.L.</t>
  </si>
  <si>
    <t>P0101</t>
  </si>
  <si>
    <t>S.C.M. PAJURA</t>
  </si>
  <si>
    <t>P0102</t>
  </si>
  <si>
    <t>SC CENTRUL MEDICAL SIMONA SRL</t>
  </si>
  <si>
    <t>P0112</t>
  </si>
  <si>
    <t>SC CENTRUL MEDICAL MED AS 2003 SRL</t>
  </si>
  <si>
    <t>P0115</t>
  </si>
  <si>
    <t>SC HIPERDIA SA</t>
  </si>
  <si>
    <t>P0116</t>
  </si>
  <si>
    <t>S.C. CENTRUL MEDICAL MEDICLAB S.R.L.</t>
  </si>
  <si>
    <t>P0119</t>
  </si>
  <si>
    <t>C.M.I DR. CRAINIC MARIA</t>
  </si>
  <si>
    <t>P0141</t>
  </si>
  <si>
    <t>C.M.I. DR. TARMUREAN CRISTINA</t>
  </si>
  <si>
    <t>P0151</t>
  </si>
  <si>
    <t>S.C. ADMEDICA INVEST S.R.L.</t>
  </si>
  <si>
    <t>P0154</t>
  </si>
  <si>
    <t>SC CLINICA SANTE SRL</t>
  </si>
  <si>
    <t>P0206</t>
  </si>
  <si>
    <t>MILENIUM DIAGNOSTIC</t>
  </si>
  <si>
    <t>P0207</t>
  </si>
  <si>
    <t>GHENCEA MEDICAL CENTER SRL</t>
  </si>
  <si>
    <t>P0211</t>
  </si>
  <si>
    <t>S.C. LABORATOR PRIVAT IANCULUI SRL</t>
  </si>
  <si>
    <t>P0252</t>
  </si>
  <si>
    <t>SC MEDIC ART LAB SRL</t>
  </si>
  <si>
    <t>P0253</t>
  </si>
  <si>
    <t>SC LABORATOARELE BIOCLINICA SRL</t>
  </si>
  <si>
    <t>P0265</t>
  </si>
  <si>
    <t>SC TOTAL MEDICAL OZON SRL</t>
  </si>
  <si>
    <t>P0272</t>
  </si>
  <si>
    <t>SC MARY - CRIS MED SRL</t>
  </si>
  <si>
    <t>P0307</t>
  </si>
  <si>
    <t>SC IMPACT LABORATORY SRL</t>
  </si>
  <si>
    <t>P0309</t>
  </si>
  <si>
    <t>SC IMUNOMEDICA PROVITA SRL</t>
  </si>
  <si>
    <t>P0062</t>
  </si>
  <si>
    <t>INCD VICTOR BABES</t>
  </si>
  <si>
    <t>BASARABIA, DOAR IP; chisinau, fantanica, rahova doar rad conv</t>
  </si>
  <si>
    <t>P0018</t>
  </si>
  <si>
    <t>CMI DR BALTOI SANDA</t>
  </si>
  <si>
    <t>P0084</t>
  </si>
  <si>
    <t>C.M.I. DR. MOROIANU SILVIA</t>
  </si>
  <si>
    <t>P0085</t>
  </si>
  <si>
    <t>C.M.I.DR.VIZITEU SANDA</t>
  </si>
  <si>
    <t>P0107</t>
  </si>
  <si>
    <t>C.M.I. DR. STANESCU GEORGETA</t>
  </si>
  <si>
    <t>TITAN DOAR RC SI CANTACUZINO DOAR IP</t>
  </si>
  <si>
    <t>ELIAS DOAR IP</t>
  </si>
  <si>
    <t>P0161</t>
  </si>
  <si>
    <t>S.C. MED EXPERT S.R.L.</t>
  </si>
  <si>
    <t>P0246</t>
  </si>
  <si>
    <t>SC MEDICALES SERVICII DE SANATATE PREMIUM SRL</t>
  </si>
  <si>
    <t>PANDURI SI BURGHELE SI PANTELIMON DOAR IP</t>
  </si>
  <si>
    <t>P0257</t>
  </si>
  <si>
    <t>EUREKA SRL</t>
  </si>
  <si>
    <t>VITAN SI EMINESCU (NOU) DOAR IP</t>
  </si>
  <si>
    <t>P0277</t>
  </si>
  <si>
    <t>SC MNT HEALTHCARE EUROPE SRL</t>
  </si>
  <si>
    <t>P0286</t>
  </si>
  <si>
    <t>SC ELDA IMPEX SRL</t>
  </si>
  <si>
    <t>MARASTI SI IULIU MANIU (NOU)</t>
  </si>
  <si>
    <t>P0288</t>
  </si>
  <si>
    <t>SC BIOMED SCAN SRL</t>
  </si>
  <si>
    <t>P0306</t>
  </si>
  <si>
    <t>P0300</t>
  </si>
  <si>
    <t>SC REN MED LABORATOR SRL</t>
  </si>
  <si>
    <t>SPITALUL CF2</t>
  </si>
  <si>
    <t>SC INTERCLINIC SRL</t>
  </si>
  <si>
    <t>SC MEDIMA HEALTH SRL</t>
  </si>
  <si>
    <t xml:space="preserve">TOTAL 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</si>
</sst>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(* #,##0_);_(* \(#,##0\);_(* &quot;-&quot;??_);_(@_)"/>
    <numFmt numFmtId="181" formatCode="0.00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109" applyFont="1" applyFill="1" applyBorder="1">
      <alignment/>
      <protection/>
    </xf>
    <xf numFmtId="171" fontId="5" fillId="0" borderId="10" xfId="42" applyFont="1" applyFill="1" applyBorder="1" applyAlignment="1">
      <alignment/>
    </xf>
    <xf numFmtId="171" fontId="5" fillId="0" borderId="10" xfId="55" applyFont="1" applyFill="1" applyBorder="1" applyAlignment="1">
      <alignment/>
    </xf>
    <xf numFmtId="0" fontId="3" fillId="0" borderId="0" xfId="78" applyFont="1" applyFill="1">
      <alignment/>
      <protection/>
    </xf>
    <xf numFmtId="0" fontId="3" fillId="0" borderId="10" xfId="78" applyFont="1" applyFill="1" applyBorder="1" applyAlignment="1">
      <alignment wrapText="1"/>
      <protection/>
    </xf>
    <xf numFmtId="0" fontId="5" fillId="0" borderId="10" xfId="78" applyFont="1" applyFill="1" applyBorder="1">
      <alignment/>
      <protection/>
    </xf>
    <xf numFmtId="0" fontId="2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2" fillId="0" borderId="0" xfId="95" applyFont="1" applyFill="1">
      <alignment/>
      <protection/>
    </xf>
    <xf numFmtId="0" fontId="4" fillId="0" borderId="0" xfId="95" applyFont="1" applyFill="1" applyBorder="1" applyAlignment="1">
      <alignment horizontal="center" wrapText="1"/>
      <protection/>
    </xf>
    <xf numFmtId="0" fontId="2" fillId="0" borderId="10" xfId="95" applyFont="1" applyFill="1" applyBorder="1">
      <alignment/>
      <protection/>
    </xf>
    <xf numFmtId="0" fontId="3" fillId="0" borderId="10" xfId="95" applyFont="1" applyFill="1" applyBorder="1" applyAlignment="1">
      <alignment wrapText="1"/>
      <protection/>
    </xf>
    <xf numFmtId="171" fontId="5" fillId="0" borderId="10" xfId="44" applyFont="1" applyFill="1" applyBorder="1" applyAlignment="1">
      <alignment horizontal="center" wrapText="1"/>
    </xf>
    <xf numFmtId="171" fontId="5" fillId="0" borderId="10" xfId="95" applyNumberFormat="1" applyFont="1" applyFill="1" applyBorder="1">
      <alignment/>
      <protection/>
    </xf>
    <xf numFmtId="0" fontId="5" fillId="0" borderId="10" xfId="95" applyFont="1" applyFill="1" applyBorder="1">
      <alignment/>
      <protection/>
    </xf>
    <xf numFmtId="171" fontId="5" fillId="0" borderId="10" xfId="44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71" fontId="5" fillId="0" borderId="10" xfId="53" applyFont="1" applyFill="1" applyBorder="1" applyAlignment="1">
      <alignment horizontal="center"/>
    </xf>
    <xf numFmtId="0" fontId="5" fillId="0" borderId="10" xfId="110" applyFont="1" applyFill="1" applyBorder="1" applyAlignment="1">
      <alignment horizontal="center" wrapText="1"/>
      <protection/>
    </xf>
    <xf numFmtId="171" fontId="5" fillId="0" borderId="10" xfId="44" applyFont="1" applyFill="1" applyBorder="1" applyAlignment="1">
      <alignment/>
    </xf>
    <xf numFmtId="171" fontId="5" fillId="0" borderId="10" xfId="44" applyFont="1" applyFill="1" applyBorder="1" applyAlignment="1">
      <alignment wrapText="1"/>
    </xf>
    <xf numFmtId="0" fontId="3" fillId="0" borderId="0" xfId="78" applyFont="1" applyFill="1" applyAlignment="1">
      <alignment wrapText="1"/>
      <protection/>
    </xf>
    <xf numFmtId="171" fontId="5" fillId="0" borderId="10" xfId="78" applyNumberFormat="1" applyFont="1" applyFill="1" applyBorder="1">
      <alignment/>
      <protection/>
    </xf>
    <xf numFmtId="171" fontId="3" fillId="0" borderId="10" xfId="44" applyFont="1" applyFill="1" applyBorder="1" applyAlignment="1">
      <alignment wrapText="1"/>
    </xf>
    <xf numFmtId="0" fontId="3" fillId="0" borderId="10" xfId="95" applyFont="1" applyFill="1" applyBorder="1" applyAlignment="1">
      <alignment horizontal="center" wrapText="1"/>
      <protection/>
    </xf>
    <xf numFmtId="171" fontId="5" fillId="33" borderId="10" xfId="78" applyNumberFormat="1" applyFont="1" applyFill="1" applyBorder="1">
      <alignment/>
      <protection/>
    </xf>
    <xf numFmtId="171" fontId="5" fillId="33" borderId="10" xfId="44" applyFont="1" applyFill="1" applyBorder="1" applyAlignment="1">
      <alignment horizontal="center"/>
    </xf>
    <xf numFmtId="171" fontId="5" fillId="33" borderId="10" xfId="44" applyFont="1" applyFill="1" applyBorder="1" applyAlignment="1">
      <alignment horizontal="center" wrapText="1"/>
    </xf>
    <xf numFmtId="171" fontId="5" fillId="33" borderId="10" xfId="55" applyFont="1" applyFill="1" applyBorder="1" applyAlignment="1">
      <alignment/>
    </xf>
    <xf numFmtId="171" fontId="5" fillId="0" borderId="0" xfId="78" applyNumberFormat="1" applyFont="1" applyFill="1" applyBorder="1">
      <alignment/>
      <protection/>
    </xf>
    <xf numFmtId="0" fontId="5" fillId="0" borderId="10" xfId="109" applyFont="1" applyFill="1" applyBorder="1" applyAlignment="1">
      <alignment horizontal="center"/>
      <protection/>
    </xf>
    <xf numFmtId="0" fontId="5" fillId="0" borderId="10" xfId="95" applyFont="1" applyFill="1" applyBorder="1" applyAlignment="1">
      <alignment wrapText="1"/>
      <protection/>
    </xf>
    <xf numFmtId="171" fontId="5" fillId="0" borderId="10" xfId="78" applyNumberFormat="1" applyFont="1" applyFill="1" applyBorder="1" applyAlignment="1">
      <alignment horizontal="right"/>
      <protection/>
    </xf>
    <xf numFmtId="171" fontId="5" fillId="0" borderId="11" xfId="44" applyFont="1" applyFill="1" applyBorder="1" applyAlignment="1">
      <alignment horizontal="center" wrapText="1"/>
    </xf>
    <xf numFmtId="171" fontId="5" fillId="0" borderId="11" xfId="78" applyNumberFormat="1" applyFont="1" applyFill="1" applyBorder="1">
      <alignment/>
      <protection/>
    </xf>
    <xf numFmtId="0" fontId="5" fillId="0" borderId="10" xfId="108" applyFont="1" applyFill="1" applyBorder="1" applyAlignment="1">
      <alignment/>
      <protection/>
    </xf>
    <xf numFmtId="0" fontId="5" fillId="33" borderId="10" xfId="0" applyFont="1" applyFill="1" applyBorder="1" applyAlignment="1">
      <alignment wrapText="1"/>
    </xf>
    <xf numFmtId="171" fontId="5" fillId="0" borderId="0" xfId="78" applyNumberFormat="1" applyFont="1" applyFill="1">
      <alignment/>
      <protection/>
    </xf>
    <xf numFmtId="171" fontId="5" fillId="0" borderId="11" xfId="44" applyFont="1" applyFill="1" applyBorder="1" applyAlignment="1">
      <alignment horizontal="center"/>
    </xf>
    <xf numFmtId="171" fontId="5" fillId="0" borderId="0" xfId="55" applyFont="1" applyFill="1" applyBorder="1" applyAlignment="1">
      <alignment/>
    </xf>
    <xf numFmtId="0" fontId="5" fillId="0" borderId="0" xfId="95" applyFont="1" applyFill="1" applyBorder="1">
      <alignment/>
      <protection/>
    </xf>
    <xf numFmtId="171" fontId="5" fillId="0" borderId="10" xfId="44" applyFont="1" applyFill="1" applyBorder="1" applyAlignment="1">
      <alignment horizontal="left" wrapText="1"/>
    </xf>
    <xf numFmtId="0" fontId="5" fillId="0" borderId="10" xfId="108" applyFont="1" applyFill="1" applyBorder="1" applyAlignment="1">
      <alignment horizontal="center"/>
      <protection/>
    </xf>
    <xf numFmtId="171" fontId="5" fillId="0" borderId="12" xfId="44" applyFont="1" applyFill="1" applyBorder="1" applyAlignment="1">
      <alignment horizontal="center" wrapText="1"/>
    </xf>
    <xf numFmtId="171" fontId="5" fillId="0" borderId="12" xfId="78" applyNumberFormat="1" applyFont="1" applyFill="1" applyBorder="1">
      <alignment/>
      <protection/>
    </xf>
    <xf numFmtId="0" fontId="4" fillId="0" borderId="10" xfId="78" applyFont="1" applyFill="1" applyBorder="1">
      <alignment/>
      <protection/>
    </xf>
    <xf numFmtId="0" fontId="4" fillId="0" borderId="10" xfId="108" applyFont="1" applyFill="1" applyBorder="1" applyAlignment="1">
      <alignment horizontal="center"/>
      <protection/>
    </xf>
    <xf numFmtId="0" fontId="4" fillId="0" borderId="10" xfId="110" applyFont="1" applyFill="1" applyBorder="1" applyAlignment="1">
      <alignment horizontal="center" wrapText="1"/>
      <protection/>
    </xf>
    <xf numFmtId="171" fontId="4" fillId="0" borderId="10" xfId="44" applyFont="1" applyFill="1" applyBorder="1" applyAlignment="1">
      <alignment/>
    </xf>
    <xf numFmtId="0" fontId="4" fillId="0" borderId="10" xfId="95" applyFont="1" applyFill="1" applyBorder="1">
      <alignment/>
      <protection/>
    </xf>
    <xf numFmtId="0" fontId="4" fillId="0" borderId="10" xfId="109" applyFont="1" applyFill="1" applyBorder="1" applyAlignment="1">
      <alignment horizontal="center"/>
      <protection/>
    </xf>
    <xf numFmtId="0" fontId="4" fillId="0" borderId="10" xfId="109" applyFont="1" applyFill="1" applyBorder="1">
      <alignment/>
      <protection/>
    </xf>
    <xf numFmtId="171" fontId="4" fillId="0" borderId="10" xfId="95" applyNumberFormat="1" applyFont="1" applyFill="1" applyBorder="1">
      <alignment/>
      <protection/>
    </xf>
    <xf numFmtId="171" fontId="4" fillId="0" borderId="10" xfId="44" applyFont="1" applyFill="1" applyBorder="1" applyAlignment="1">
      <alignment horizontal="right"/>
    </xf>
    <xf numFmtId="0" fontId="5" fillId="0" borderId="0" xfId="78" applyFont="1" applyFill="1" applyBorder="1">
      <alignment/>
      <protection/>
    </xf>
    <xf numFmtId="0" fontId="5" fillId="0" borderId="0" xfId="108" applyFont="1" applyFill="1" applyBorder="1" applyAlignment="1">
      <alignment horizontal="center"/>
      <protection/>
    </xf>
    <xf numFmtId="0" fontId="5" fillId="0" borderId="0" xfId="108" applyFont="1" applyFill="1" applyBorder="1">
      <alignment/>
      <protection/>
    </xf>
    <xf numFmtId="0" fontId="5" fillId="0" borderId="0" xfId="78" applyFont="1" applyFill="1" applyBorder="1" applyAlignment="1">
      <alignment horizontal="center"/>
      <protection/>
    </xf>
    <xf numFmtId="0" fontId="4" fillId="0" borderId="0" xfId="108" applyFont="1" applyFill="1" applyBorder="1">
      <alignment/>
      <protection/>
    </xf>
    <xf numFmtId="0" fontId="5" fillId="0" borderId="0" xfId="78" applyFont="1" applyFill="1">
      <alignment/>
      <protection/>
    </xf>
    <xf numFmtId="0" fontId="5" fillId="0" borderId="11" xfId="78" applyFont="1" applyFill="1" applyBorder="1">
      <alignment/>
      <protection/>
    </xf>
    <xf numFmtId="0" fontId="5" fillId="0" borderId="12" xfId="78" applyFont="1" applyFill="1" applyBorder="1">
      <alignment/>
      <protection/>
    </xf>
    <xf numFmtId="0" fontId="4" fillId="0" borderId="10" xfId="78" applyFont="1" applyFill="1" applyBorder="1" applyAlignment="1">
      <alignment horizontal="right"/>
      <protection/>
    </xf>
    <xf numFmtId="0" fontId="4" fillId="0" borderId="10" xfId="108" applyFont="1" applyFill="1" applyBorder="1" applyAlignment="1">
      <alignment horizontal="right"/>
      <protection/>
    </xf>
    <xf numFmtId="0" fontId="5" fillId="0" borderId="0" xfId="108" applyFont="1" applyFill="1" applyAlignment="1">
      <alignment horizontal="center"/>
      <protection/>
    </xf>
    <xf numFmtId="0" fontId="5" fillId="0" borderId="0" xfId="108" applyFont="1" applyFill="1">
      <alignment/>
      <protection/>
    </xf>
    <xf numFmtId="0" fontId="4" fillId="0" borderId="0" xfId="78" applyFont="1" applyFill="1" applyBorder="1" applyAlignment="1">
      <alignment horizontal="center" wrapText="1"/>
      <protection/>
    </xf>
    <xf numFmtId="0" fontId="5" fillId="33" borderId="0" xfId="78" applyFont="1" applyFill="1">
      <alignment/>
      <protection/>
    </xf>
    <xf numFmtId="0" fontId="5" fillId="0" borderId="10" xfId="110" applyFont="1" applyFill="1" applyBorder="1" applyAlignment="1">
      <alignment horizontal="center"/>
      <protection/>
    </xf>
    <xf numFmtId="0" fontId="5" fillId="0" borderId="0" xfId="95" applyFont="1" applyFill="1">
      <alignment/>
      <protection/>
    </xf>
    <xf numFmtId="0" fontId="5" fillId="0" borderId="0" xfId="109" applyFont="1" applyFill="1" applyAlignment="1">
      <alignment horizontal="center"/>
      <protection/>
    </xf>
    <xf numFmtId="0" fontId="5" fillId="0" borderId="0" xfId="109" applyFont="1" applyFill="1">
      <alignment/>
      <protection/>
    </xf>
    <xf numFmtId="0" fontId="5" fillId="0" borderId="0" xfId="109" applyFont="1" applyFill="1" applyBorder="1" applyAlignment="1">
      <alignment horizontal="center"/>
      <protection/>
    </xf>
    <xf numFmtId="0" fontId="4" fillId="0" borderId="0" xfId="95" applyFont="1" applyFill="1">
      <alignment/>
      <protection/>
    </xf>
    <xf numFmtId="0" fontId="4" fillId="0" borderId="0" xfId="109" applyFont="1" applyFill="1" applyBorder="1" applyAlignment="1">
      <alignment horizontal="center"/>
      <protection/>
    </xf>
    <xf numFmtId="14" fontId="5" fillId="0" borderId="0" xfId="109" applyNumberFormat="1" applyFont="1" applyFill="1" applyBorder="1">
      <alignment/>
      <protection/>
    </xf>
    <xf numFmtId="0" fontId="4" fillId="0" borderId="10" xfId="95" applyFont="1" applyFill="1" applyBorder="1" applyAlignment="1">
      <alignment wrapText="1"/>
      <protection/>
    </xf>
    <xf numFmtId="0" fontId="4" fillId="0" borderId="10" xfId="95" applyFont="1" applyFill="1" applyBorder="1" applyAlignment="1">
      <alignment horizontal="center" wrapText="1"/>
      <protection/>
    </xf>
    <xf numFmtId="171" fontId="5" fillId="34" borderId="0" xfId="95" applyNumberFormat="1" applyFont="1" applyFill="1">
      <alignment/>
      <protection/>
    </xf>
    <xf numFmtId="171" fontId="5" fillId="0" borderId="0" xfId="95" applyNumberFormat="1" applyFont="1" applyFill="1">
      <alignment/>
      <protection/>
    </xf>
    <xf numFmtId="0" fontId="5" fillId="35" borderId="0" xfId="95" applyFont="1" applyFill="1">
      <alignment/>
      <protection/>
    </xf>
    <xf numFmtId="0" fontId="5" fillId="34" borderId="0" xfId="95" applyFont="1" applyFill="1">
      <alignment/>
      <protection/>
    </xf>
    <xf numFmtId="171" fontId="5" fillId="0" borderId="10" xfId="95" applyNumberFormat="1" applyFont="1" applyFill="1" applyBorder="1" applyAlignment="1">
      <alignment wrapText="1"/>
      <protection/>
    </xf>
    <xf numFmtId="171" fontId="5" fillId="0" borderId="0" xfId="95" applyNumberFormat="1" applyFont="1" applyFill="1" applyBorder="1">
      <alignment/>
      <protection/>
    </xf>
    <xf numFmtId="171" fontId="5" fillId="33" borderId="10" xfId="55" applyFont="1" applyFill="1" applyBorder="1" applyAlignment="1">
      <alignment/>
    </xf>
    <xf numFmtId="4" fontId="5" fillId="0" borderId="10" xfId="78" applyNumberFormat="1" applyFont="1" applyFill="1" applyBorder="1">
      <alignment/>
      <protection/>
    </xf>
    <xf numFmtId="171" fontId="5" fillId="33" borderId="10" xfId="44" applyFont="1" applyFill="1" applyBorder="1" applyAlignment="1">
      <alignment horizontal="center"/>
    </xf>
    <xf numFmtId="0" fontId="3" fillId="0" borderId="10" xfId="78" applyFont="1" applyFill="1" applyBorder="1" applyAlignment="1">
      <alignment horizontal="center"/>
      <protection/>
    </xf>
    <xf numFmtId="0" fontId="3" fillId="0" borderId="10" xfId="108" applyFont="1" applyFill="1" applyBorder="1" applyAlignment="1">
      <alignment horizontal="center"/>
      <protection/>
    </xf>
    <xf numFmtId="0" fontId="3" fillId="0" borderId="13" xfId="78" applyFont="1" applyFill="1" applyBorder="1" applyAlignment="1">
      <alignment horizontal="center" wrapText="1"/>
      <protection/>
    </xf>
    <xf numFmtId="0" fontId="3" fillId="0" borderId="14" xfId="78" applyFont="1" applyFill="1" applyBorder="1" applyAlignment="1">
      <alignment horizontal="center" wrapText="1"/>
      <protection/>
    </xf>
    <xf numFmtId="0" fontId="3" fillId="0" borderId="15" xfId="78" applyFont="1" applyFill="1" applyBorder="1" applyAlignment="1">
      <alignment horizontal="center" wrapText="1"/>
      <protection/>
    </xf>
    <xf numFmtId="0" fontId="3" fillId="0" borderId="11" xfId="108" applyFont="1" applyFill="1" applyBorder="1" applyAlignment="1">
      <alignment horizontal="center" wrapText="1"/>
      <protection/>
    </xf>
    <xf numFmtId="0" fontId="3" fillId="0" borderId="12" xfId="108" applyFont="1" applyFill="1" applyBorder="1" applyAlignment="1">
      <alignment horizontal="center" wrapText="1"/>
      <protection/>
    </xf>
    <xf numFmtId="0" fontId="3" fillId="0" borderId="10" xfId="78" applyFont="1" applyFill="1" applyBorder="1" applyAlignment="1">
      <alignment horizontal="center" wrapText="1"/>
      <protection/>
    </xf>
    <xf numFmtId="0" fontId="3" fillId="0" borderId="10" xfId="95" applyFont="1" applyFill="1" applyBorder="1" applyAlignment="1">
      <alignment horizontal="center" wrapText="1"/>
      <protection/>
    </xf>
    <xf numFmtId="0" fontId="3" fillId="0" borderId="10" xfId="95" applyFont="1" applyFill="1" applyBorder="1">
      <alignment/>
      <protection/>
    </xf>
    <xf numFmtId="0" fontId="3" fillId="0" borderId="10" xfId="109" applyFont="1" applyFill="1" applyBorder="1" applyAlignment="1">
      <alignment horizontal="center"/>
      <protection/>
    </xf>
    <xf numFmtId="0" fontId="3" fillId="0" borderId="10" xfId="109" applyFont="1" applyFill="1" applyBorder="1">
      <alignment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2 2" xfId="48"/>
    <cellStyle name="Comma 13" xfId="49"/>
    <cellStyle name="Comma 16" xfId="50"/>
    <cellStyle name="Comma 2" xfId="51"/>
    <cellStyle name="Comma 2 2" xfId="52"/>
    <cellStyle name="Comma 2 3" xfId="53"/>
    <cellStyle name="Comma 2 3 2" xfId="54"/>
    <cellStyle name="Comma 2 4" xfId="55"/>
    <cellStyle name="Comma 2 6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8 2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1 2" xfId="81"/>
    <cellStyle name="Normal 11 3" xfId="82"/>
    <cellStyle name="Normal 12" xfId="83"/>
    <cellStyle name="Normal 13" xfId="84"/>
    <cellStyle name="Normal 13 2" xfId="85"/>
    <cellStyle name="Normal 14" xfId="86"/>
    <cellStyle name="Normal 14 2" xfId="87"/>
    <cellStyle name="Normal 2" xfId="88"/>
    <cellStyle name="Normal 2 2" xfId="89"/>
    <cellStyle name="Normal 2 2 2" xfId="90"/>
    <cellStyle name="Normal 2 2 3" xfId="91"/>
    <cellStyle name="Normal 2 2 4" xfId="92"/>
    <cellStyle name="Normal 2 3" xfId="93"/>
    <cellStyle name="Normal 3" xfId="94"/>
    <cellStyle name="Normal 3 2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6 2" xfId="102"/>
    <cellStyle name="Normal 7" xfId="103"/>
    <cellStyle name="Normal 8" xfId="104"/>
    <cellStyle name="Normal 8 2" xfId="105"/>
    <cellStyle name="Normal 8 3" xfId="106"/>
    <cellStyle name="Normal 9" xfId="107"/>
    <cellStyle name="Normal_PLAFON RAPORTAT TRIM.II,III 2004" xfId="108"/>
    <cellStyle name="Normal_PLAFON RAPORTAT TRIM.II,III 2004 2" xfId="109"/>
    <cellStyle name="Normal_PLAFON RAPORTAT TRIM.II,III 2004 2 2" xfId="110"/>
    <cellStyle name="Note" xfId="111"/>
    <cellStyle name="Output" xfId="112"/>
    <cellStyle name="Percent" xfId="113"/>
    <cellStyle name="Percent 10" xfId="114"/>
    <cellStyle name="Percent 11" xfId="115"/>
    <cellStyle name="Percent 12" xfId="116"/>
    <cellStyle name="Percent 13" xfId="117"/>
    <cellStyle name="Percent 2" xfId="118"/>
    <cellStyle name="Percent 3" xfId="119"/>
    <cellStyle name="Percent 4" xfId="120"/>
    <cellStyle name="Percent 5" xfId="121"/>
    <cellStyle name="Percent 6" xfId="122"/>
    <cellStyle name="Percent 7" xfId="123"/>
    <cellStyle name="Percent 8" xfId="124"/>
    <cellStyle name="Percent 9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istina.calinoiu\AppData\Local\Microsoft\Windows\Temporary%20Internet%20Files\Content.Outlook\7WQTOG9F\punctaje%2030.04.2018%20ELENA%20+%20V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-punctaje"/>
      <sheetName val="an.pat-punctaje (2)"/>
      <sheetName val="radiologie punctaj total"/>
      <sheetName val="RAD CONV"/>
      <sheetName val="ip-evaluare-punc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2"/>
  <sheetViews>
    <sheetView zoomScalePageLayoutView="0" workbookViewId="0" topLeftCell="A1">
      <pane ySplit="8" topLeftCell="A103" activePane="bottomLeft" state="frozen"/>
      <selection pane="topLeft" activeCell="H124" sqref="H124:H129"/>
      <selection pane="bottomLeft" activeCell="L106" sqref="L106"/>
    </sheetView>
  </sheetViews>
  <sheetFormatPr defaultColWidth="9.140625" defaultRowHeight="15"/>
  <cols>
    <col min="1" max="1" width="10.28125" style="60" customWidth="1"/>
    <col min="2" max="2" width="12.57421875" style="65" customWidth="1"/>
    <col min="3" max="3" width="34.421875" style="66" customWidth="1"/>
    <col min="4" max="4" width="15.28125" style="60" customWidth="1"/>
    <col min="5" max="5" width="12.8515625" style="60" bestFit="1" customWidth="1"/>
    <col min="6" max="6" width="11.57421875" style="60" bestFit="1" customWidth="1"/>
    <col min="7" max="7" width="15.421875" style="60" customWidth="1"/>
    <col min="8" max="8" width="22.421875" style="60" customWidth="1"/>
    <col min="9" max="9" width="25.28125" style="60" customWidth="1"/>
    <col min="10" max="16384" width="9.140625" style="60" customWidth="1"/>
  </cols>
  <sheetData>
    <row r="2" spans="2:3" s="55" customFormat="1" ht="15">
      <c r="B2" s="56"/>
      <c r="C2" s="57"/>
    </row>
    <row r="3" spans="1:3" s="55" customFormat="1" ht="15.75">
      <c r="A3" s="57"/>
      <c r="B3" s="56"/>
      <c r="C3" s="59" t="s">
        <v>0</v>
      </c>
    </row>
    <row r="4" spans="2:3" s="55" customFormat="1" ht="15.75">
      <c r="B4" s="56"/>
      <c r="C4" s="67" t="s">
        <v>150</v>
      </c>
    </row>
    <row r="5" spans="2:3" s="55" customFormat="1" ht="15.75">
      <c r="B5" s="56"/>
      <c r="C5" s="67"/>
    </row>
    <row r="6" spans="2:3" s="55" customFormat="1" ht="15">
      <c r="B6" s="56"/>
      <c r="C6" s="55" t="s">
        <v>157</v>
      </c>
    </row>
    <row r="7" spans="1:9" s="22" customFormat="1" ht="25.5">
      <c r="A7" s="88" t="s">
        <v>1</v>
      </c>
      <c r="B7" s="89" t="s">
        <v>2</v>
      </c>
      <c r="C7" s="89" t="s">
        <v>158</v>
      </c>
      <c r="D7" s="90" t="s">
        <v>167</v>
      </c>
      <c r="E7" s="91"/>
      <c r="F7" s="91"/>
      <c r="G7" s="92"/>
      <c r="H7" s="5" t="s">
        <v>168</v>
      </c>
      <c r="I7" s="5" t="s">
        <v>168</v>
      </c>
    </row>
    <row r="8" spans="1:9" s="7" customFormat="1" ht="94.5" customHeight="1">
      <c r="A8" s="88"/>
      <c r="B8" s="89"/>
      <c r="C8" s="89"/>
      <c r="D8" s="24" t="s">
        <v>159</v>
      </c>
      <c r="E8" s="24" t="s">
        <v>160</v>
      </c>
      <c r="F8" s="5" t="s">
        <v>161</v>
      </c>
      <c r="G8" s="5" t="s">
        <v>142</v>
      </c>
      <c r="H8" s="5" t="s">
        <v>162</v>
      </c>
      <c r="I8" s="5" t="s">
        <v>169</v>
      </c>
    </row>
    <row r="9" spans="1:9" ht="15">
      <c r="A9" s="6">
        <v>1</v>
      </c>
      <c r="B9" s="13" t="s">
        <v>273</v>
      </c>
      <c r="C9" s="13" t="s">
        <v>274</v>
      </c>
      <c r="D9" s="23">
        <v>321.6</v>
      </c>
      <c r="E9" s="38">
        <v>98</v>
      </c>
      <c r="F9" s="23">
        <v>15</v>
      </c>
      <c r="G9" s="23">
        <f aca="true" t="shared" si="0" ref="G9:G40">D9+E9+F9</f>
        <v>434.6</v>
      </c>
      <c r="H9" s="23">
        <v>99</v>
      </c>
      <c r="I9" s="23">
        <v>368</v>
      </c>
    </row>
    <row r="10" spans="1:9" s="8" customFormat="1" ht="15.75">
      <c r="A10" s="6">
        <v>2</v>
      </c>
      <c r="B10" s="13" t="s">
        <v>275</v>
      </c>
      <c r="C10" s="13" t="s">
        <v>276</v>
      </c>
      <c r="D10" s="23">
        <f>1295+1255+1179</f>
        <v>3729</v>
      </c>
      <c r="E10" s="23">
        <f>62.5+65+80</f>
        <v>207.5</v>
      </c>
      <c r="F10" s="23">
        <f>24+12+12</f>
        <v>48</v>
      </c>
      <c r="G10" s="23">
        <f t="shared" si="0"/>
        <v>3984.5</v>
      </c>
      <c r="H10" s="23">
        <f>145+133+112</f>
        <v>390</v>
      </c>
      <c r="I10" s="23">
        <f>908.5+886+898</f>
        <v>2692.5</v>
      </c>
    </row>
    <row r="11" spans="1:9" ht="30">
      <c r="A11" s="6">
        <v>3</v>
      </c>
      <c r="B11" s="13" t="s">
        <v>7</v>
      </c>
      <c r="C11" s="13" t="s">
        <v>8</v>
      </c>
      <c r="D11" s="23">
        <v>449.05</v>
      </c>
      <c r="E11" s="6">
        <v>118.15</v>
      </c>
      <c r="F11" s="23">
        <v>24</v>
      </c>
      <c r="G11" s="23">
        <f t="shared" si="0"/>
        <v>591.2</v>
      </c>
      <c r="H11" s="23">
        <v>127</v>
      </c>
      <c r="I11" s="23">
        <v>504</v>
      </c>
    </row>
    <row r="12" spans="1:9" ht="30">
      <c r="A12" s="6">
        <v>4</v>
      </c>
      <c r="B12" s="13" t="s">
        <v>9</v>
      </c>
      <c r="C12" s="13" t="s">
        <v>10</v>
      </c>
      <c r="D12" s="23">
        <v>281.8</v>
      </c>
      <c r="E12" s="23">
        <v>78</v>
      </c>
      <c r="F12" s="23">
        <v>15</v>
      </c>
      <c r="G12" s="23">
        <f t="shared" si="0"/>
        <v>374.8</v>
      </c>
      <c r="H12" s="23">
        <v>64</v>
      </c>
      <c r="I12" s="23">
        <v>160</v>
      </c>
    </row>
    <row r="13" spans="1:9" ht="15">
      <c r="A13" s="6">
        <v>5</v>
      </c>
      <c r="B13" s="13" t="s">
        <v>11</v>
      </c>
      <c r="C13" s="13" t="s">
        <v>163</v>
      </c>
      <c r="D13" s="23">
        <v>387.2</v>
      </c>
      <c r="E13" s="23">
        <v>75</v>
      </c>
      <c r="F13" s="23">
        <v>24</v>
      </c>
      <c r="G13" s="23">
        <f t="shared" si="0"/>
        <v>486.2</v>
      </c>
      <c r="H13" s="23">
        <v>153</v>
      </c>
      <c r="I13" s="23">
        <v>536</v>
      </c>
    </row>
    <row r="14" spans="1:9" ht="15">
      <c r="A14" s="6">
        <v>6</v>
      </c>
      <c r="B14" s="13" t="s">
        <v>12</v>
      </c>
      <c r="C14" s="13" t="s">
        <v>13</v>
      </c>
      <c r="D14" s="38">
        <v>1956.4</v>
      </c>
      <c r="E14" s="23">
        <v>765</v>
      </c>
      <c r="F14" s="23">
        <v>36</v>
      </c>
      <c r="G14" s="23">
        <f t="shared" si="0"/>
        <v>2757.4</v>
      </c>
      <c r="H14" s="23">
        <v>308</v>
      </c>
      <c r="I14" s="23">
        <v>2224</v>
      </c>
    </row>
    <row r="15" spans="1:9" ht="15">
      <c r="A15" s="6">
        <v>7</v>
      </c>
      <c r="B15" s="13" t="s">
        <v>14</v>
      </c>
      <c r="C15" s="13" t="s">
        <v>15</v>
      </c>
      <c r="D15" s="23">
        <v>2485</v>
      </c>
      <c r="E15" s="23">
        <v>735.86</v>
      </c>
      <c r="F15" s="23">
        <v>36</v>
      </c>
      <c r="G15" s="23">
        <f t="shared" si="0"/>
        <v>3256.86</v>
      </c>
      <c r="H15" s="23">
        <v>322</v>
      </c>
      <c r="I15" s="23">
        <v>1502.5</v>
      </c>
    </row>
    <row r="16" spans="1:9" ht="15">
      <c r="A16" s="6">
        <v>8</v>
      </c>
      <c r="B16" s="13" t="s">
        <v>206</v>
      </c>
      <c r="C16" s="13" t="s">
        <v>205</v>
      </c>
      <c r="D16" s="23">
        <v>837</v>
      </c>
      <c r="E16" s="23">
        <v>140</v>
      </c>
      <c r="F16" s="23">
        <v>31</v>
      </c>
      <c r="G16" s="23">
        <f t="shared" si="0"/>
        <v>1008</v>
      </c>
      <c r="H16" s="23">
        <v>297</v>
      </c>
      <c r="I16" s="23">
        <v>2212</v>
      </c>
    </row>
    <row r="17" spans="1:9" ht="30">
      <c r="A17" s="6">
        <v>9</v>
      </c>
      <c r="B17" s="13" t="s">
        <v>16</v>
      </c>
      <c r="C17" s="13" t="s">
        <v>17</v>
      </c>
      <c r="D17" s="23">
        <v>407.6</v>
      </c>
      <c r="E17" s="23">
        <v>100</v>
      </c>
      <c r="F17" s="23">
        <v>24</v>
      </c>
      <c r="G17" s="23">
        <f t="shared" si="0"/>
        <v>531.6</v>
      </c>
      <c r="H17" s="23">
        <v>144</v>
      </c>
      <c r="I17" s="23">
        <v>1222</v>
      </c>
    </row>
    <row r="18" spans="1:9" ht="15">
      <c r="A18" s="6">
        <v>10</v>
      </c>
      <c r="B18" s="13" t="s">
        <v>22</v>
      </c>
      <c r="C18" s="13" t="s">
        <v>23</v>
      </c>
      <c r="D18" s="6">
        <v>1413</v>
      </c>
      <c r="E18" s="23">
        <v>234.75</v>
      </c>
      <c r="F18" s="23">
        <v>36</v>
      </c>
      <c r="G18" s="23">
        <f t="shared" si="0"/>
        <v>1683.75</v>
      </c>
      <c r="H18" s="23">
        <v>319</v>
      </c>
      <c r="I18" s="23">
        <v>1382</v>
      </c>
    </row>
    <row r="19" spans="1:9" ht="30">
      <c r="A19" s="6">
        <v>11</v>
      </c>
      <c r="B19" s="13" t="s">
        <v>24</v>
      </c>
      <c r="C19" s="13" t="s">
        <v>25</v>
      </c>
      <c r="D19" s="23">
        <v>690</v>
      </c>
      <c r="E19" s="23">
        <v>85</v>
      </c>
      <c r="F19" s="23">
        <v>19</v>
      </c>
      <c r="G19" s="23">
        <f t="shared" si="0"/>
        <v>794</v>
      </c>
      <c r="H19" s="23">
        <v>126</v>
      </c>
      <c r="I19" s="23">
        <v>591</v>
      </c>
    </row>
    <row r="20" spans="1:9" ht="15">
      <c r="A20" s="6">
        <v>12</v>
      </c>
      <c r="B20" s="13" t="s">
        <v>26</v>
      </c>
      <c r="C20" s="13" t="s">
        <v>27</v>
      </c>
      <c r="D20" s="23">
        <v>3617.8</v>
      </c>
      <c r="E20" s="23">
        <v>757</v>
      </c>
      <c r="F20" s="23">
        <v>48</v>
      </c>
      <c r="G20" s="23">
        <f t="shared" si="0"/>
        <v>4422.8</v>
      </c>
      <c r="H20" s="23">
        <v>483</v>
      </c>
      <c r="I20" s="23">
        <v>3864</v>
      </c>
    </row>
    <row r="21" spans="1:9" ht="15">
      <c r="A21" s="6">
        <v>13</v>
      </c>
      <c r="B21" s="13" t="s">
        <v>28</v>
      </c>
      <c r="C21" s="13" t="s">
        <v>29</v>
      </c>
      <c r="D21" s="23">
        <v>999.32</v>
      </c>
      <c r="E21" s="23">
        <v>249.71</v>
      </c>
      <c r="F21" s="23">
        <v>32</v>
      </c>
      <c r="G21" s="23">
        <f t="shared" si="0"/>
        <v>1281.03</v>
      </c>
      <c r="H21" s="23">
        <v>311</v>
      </c>
      <c r="I21" s="23">
        <v>1330</v>
      </c>
    </row>
    <row r="22" spans="1:9" ht="15">
      <c r="A22" s="6">
        <v>14</v>
      </c>
      <c r="B22" s="13" t="s">
        <v>179</v>
      </c>
      <c r="C22" s="13" t="s">
        <v>180</v>
      </c>
      <c r="D22" s="23">
        <v>512.4</v>
      </c>
      <c r="E22" s="23">
        <v>73</v>
      </c>
      <c r="F22" s="23">
        <v>24</v>
      </c>
      <c r="G22" s="23">
        <f t="shared" si="0"/>
        <v>609.4</v>
      </c>
      <c r="H22" s="23">
        <v>140</v>
      </c>
      <c r="I22" s="23">
        <v>464</v>
      </c>
    </row>
    <row r="23" spans="1:9" ht="15">
      <c r="A23" s="6">
        <v>15</v>
      </c>
      <c r="B23" s="13" t="s">
        <v>30</v>
      </c>
      <c r="C23" s="13" t="s">
        <v>31</v>
      </c>
      <c r="D23" s="23">
        <v>2940.2</v>
      </c>
      <c r="E23" s="23">
        <v>369.42</v>
      </c>
      <c r="F23" s="23">
        <v>24</v>
      </c>
      <c r="G23" s="23">
        <f t="shared" si="0"/>
        <v>3333.62</v>
      </c>
      <c r="H23" s="23">
        <v>425</v>
      </c>
      <c r="I23" s="23">
        <v>2414</v>
      </c>
    </row>
    <row r="24" spans="1:9" ht="15">
      <c r="A24" s="6">
        <v>16</v>
      </c>
      <c r="B24" s="13" t="s">
        <v>208</v>
      </c>
      <c r="C24" s="13" t="s">
        <v>207</v>
      </c>
      <c r="D24" s="23">
        <v>1507</v>
      </c>
      <c r="E24" s="23">
        <v>266.43</v>
      </c>
      <c r="F24" s="23">
        <v>24</v>
      </c>
      <c r="G24" s="23">
        <f t="shared" si="0"/>
        <v>1797.43</v>
      </c>
      <c r="H24" s="23">
        <v>141</v>
      </c>
      <c r="I24" s="23">
        <v>858</v>
      </c>
    </row>
    <row r="25" spans="1:9" ht="15">
      <c r="A25" s="6">
        <v>17</v>
      </c>
      <c r="B25" s="13" t="s">
        <v>277</v>
      </c>
      <c r="C25" s="13" t="s">
        <v>278</v>
      </c>
      <c r="D25" s="23">
        <v>548.6</v>
      </c>
      <c r="E25" s="23">
        <v>90.5</v>
      </c>
      <c r="F25" s="23">
        <v>24</v>
      </c>
      <c r="G25" s="23">
        <f t="shared" si="0"/>
        <v>663.1</v>
      </c>
      <c r="H25" s="23">
        <v>138</v>
      </c>
      <c r="I25" s="23">
        <v>608</v>
      </c>
    </row>
    <row r="26" spans="1:9" ht="30">
      <c r="A26" s="6">
        <v>18</v>
      </c>
      <c r="B26" s="13" t="s">
        <v>32</v>
      </c>
      <c r="C26" s="13" t="s">
        <v>33</v>
      </c>
      <c r="D26" s="23">
        <v>1676</v>
      </c>
      <c r="E26" s="23">
        <v>177.54</v>
      </c>
      <c r="F26" s="26">
        <v>36</v>
      </c>
      <c r="G26" s="23">
        <f t="shared" si="0"/>
        <v>1889.54</v>
      </c>
      <c r="H26" s="23">
        <v>303</v>
      </c>
      <c r="I26" s="23">
        <v>1483</v>
      </c>
    </row>
    <row r="27" spans="1:9" ht="15">
      <c r="A27" s="6">
        <v>19</v>
      </c>
      <c r="B27" s="13" t="s">
        <v>181</v>
      </c>
      <c r="C27" s="13" t="s">
        <v>182</v>
      </c>
      <c r="D27" s="23">
        <v>308.4</v>
      </c>
      <c r="E27" s="23">
        <v>70</v>
      </c>
      <c r="F27" s="23">
        <v>20</v>
      </c>
      <c r="G27" s="23">
        <f t="shared" si="0"/>
        <v>398.4</v>
      </c>
      <c r="H27" s="23">
        <v>112</v>
      </c>
      <c r="I27" s="23">
        <v>360</v>
      </c>
    </row>
    <row r="28" spans="1:9" ht="30">
      <c r="A28" s="6">
        <v>20</v>
      </c>
      <c r="B28" s="13" t="s">
        <v>36</v>
      </c>
      <c r="C28" s="13" t="s">
        <v>37</v>
      </c>
      <c r="D28" s="23">
        <v>1792.22</v>
      </c>
      <c r="E28" s="23">
        <v>312.93</v>
      </c>
      <c r="F28" s="23">
        <v>36</v>
      </c>
      <c r="G28" s="23">
        <f t="shared" si="0"/>
        <v>2141.15</v>
      </c>
      <c r="H28" s="23">
        <v>312</v>
      </c>
      <c r="I28" s="23">
        <v>2608</v>
      </c>
    </row>
    <row r="29" spans="1:9" ht="15">
      <c r="A29" s="6">
        <v>21</v>
      </c>
      <c r="B29" s="13" t="s">
        <v>38</v>
      </c>
      <c r="C29" s="13" t="s">
        <v>39</v>
      </c>
      <c r="D29" s="23">
        <v>2086</v>
      </c>
      <c r="E29" s="23">
        <v>160</v>
      </c>
      <c r="F29" s="23">
        <v>36</v>
      </c>
      <c r="G29" s="23">
        <f t="shared" si="0"/>
        <v>2282</v>
      </c>
      <c r="H29" s="23">
        <v>298</v>
      </c>
      <c r="I29" s="23">
        <v>1483</v>
      </c>
    </row>
    <row r="30" spans="1:9" ht="15">
      <c r="A30" s="6">
        <v>22</v>
      </c>
      <c r="B30" s="13" t="s">
        <v>210</v>
      </c>
      <c r="C30" s="13" t="s">
        <v>209</v>
      </c>
      <c r="D30" s="23">
        <v>621.4</v>
      </c>
      <c r="E30" s="6">
        <v>265</v>
      </c>
      <c r="F30" s="23">
        <v>15</v>
      </c>
      <c r="G30" s="23">
        <f t="shared" si="0"/>
        <v>901.4</v>
      </c>
      <c r="H30" s="23">
        <v>107</v>
      </c>
      <c r="I30" s="23">
        <v>700</v>
      </c>
    </row>
    <row r="31" spans="1:9" ht="15">
      <c r="A31" s="6">
        <v>23</v>
      </c>
      <c r="B31" s="13" t="s">
        <v>40</v>
      </c>
      <c r="C31" s="13" t="s">
        <v>41</v>
      </c>
      <c r="D31" s="23">
        <v>836.8</v>
      </c>
      <c r="E31" s="23">
        <v>206.5</v>
      </c>
      <c r="F31" s="23">
        <v>19</v>
      </c>
      <c r="G31" s="23">
        <f t="shared" si="0"/>
        <v>1062.3</v>
      </c>
      <c r="H31" s="23">
        <v>121</v>
      </c>
      <c r="I31" s="23">
        <v>582</v>
      </c>
    </row>
    <row r="32" spans="1:9" ht="15">
      <c r="A32" s="6">
        <v>24</v>
      </c>
      <c r="B32" s="13" t="s">
        <v>279</v>
      </c>
      <c r="C32" s="13" t="s">
        <v>280</v>
      </c>
      <c r="D32" s="23">
        <v>338</v>
      </c>
      <c r="E32" s="23">
        <v>104.29</v>
      </c>
      <c r="F32" s="23">
        <v>20</v>
      </c>
      <c r="G32" s="23">
        <f t="shared" si="0"/>
        <v>462.29</v>
      </c>
      <c r="H32" s="23">
        <v>131</v>
      </c>
      <c r="I32" s="23">
        <v>655</v>
      </c>
    </row>
    <row r="33" spans="1:9" ht="30">
      <c r="A33" s="6">
        <v>25</v>
      </c>
      <c r="B33" s="13" t="s">
        <v>281</v>
      </c>
      <c r="C33" s="13" t="s">
        <v>282</v>
      </c>
      <c r="D33" s="23">
        <f>1119.6+844.8</f>
        <v>1964.3999999999999</v>
      </c>
      <c r="E33" s="23">
        <f>107.5+64</f>
        <v>171.5</v>
      </c>
      <c r="F33" s="23">
        <f>19+12</f>
        <v>31</v>
      </c>
      <c r="G33" s="23">
        <f t="shared" si="0"/>
        <v>2166.8999999999996</v>
      </c>
      <c r="H33" s="23">
        <f>136+129</f>
        <v>265</v>
      </c>
      <c r="I33" s="23">
        <f>648+628</f>
        <v>1276</v>
      </c>
    </row>
    <row r="34" spans="1:9" ht="15">
      <c r="A34" s="6">
        <v>26</v>
      </c>
      <c r="B34" s="13" t="s">
        <v>212</v>
      </c>
      <c r="C34" s="13" t="s">
        <v>213</v>
      </c>
      <c r="D34" s="23">
        <v>2685</v>
      </c>
      <c r="E34" s="23">
        <v>297.5</v>
      </c>
      <c r="F34" s="23">
        <v>36</v>
      </c>
      <c r="G34" s="23">
        <f t="shared" si="0"/>
        <v>3018.5</v>
      </c>
      <c r="H34" s="23">
        <v>385</v>
      </c>
      <c r="I34" s="23">
        <v>2696</v>
      </c>
    </row>
    <row r="35" spans="1:9" ht="30">
      <c r="A35" s="6">
        <v>27</v>
      </c>
      <c r="B35" s="13" t="s">
        <v>283</v>
      </c>
      <c r="C35" s="13" t="s">
        <v>284</v>
      </c>
      <c r="D35" s="23">
        <f>1415.58+1165.4+1123.6+1329.6</f>
        <v>5034.18</v>
      </c>
      <c r="E35" s="23">
        <f>280.4+185+126.57+142</f>
        <v>733.97</v>
      </c>
      <c r="F35" s="23">
        <f>12+12+24+12</f>
        <v>60</v>
      </c>
      <c r="G35" s="23">
        <f t="shared" si="0"/>
        <v>5828.150000000001</v>
      </c>
      <c r="H35" s="23">
        <f>146+142+136+156</f>
        <v>580</v>
      </c>
      <c r="I35" s="23">
        <f>865+782+786.5+854</f>
        <v>3287.5</v>
      </c>
    </row>
    <row r="36" spans="1:9" ht="15">
      <c r="A36" s="6">
        <v>28</v>
      </c>
      <c r="B36" s="13" t="s">
        <v>285</v>
      </c>
      <c r="C36" s="13" t="s">
        <v>286</v>
      </c>
      <c r="D36" s="23">
        <v>605</v>
      </c>
      <c r="E36" s="23">
        <v>143.29</v>
      </c>
      <c r="F36" s="23">
        <v>24</v>
      </c>
      <c r="G36" s="23">
        <f t="shared" si="0"/>
        <v>772.29</v>
      </c>
      <c r="H36" s="23">
        <v>123</v>
      </c>
      <c r="I36" s="23">
        <v>1216</v>
      </c>
    </row>
    <row r="37" spans="1:9" ht="30">
      <c r="A37" s="6">
        <v>29</v>
      </c>
      <c r="B37" s="13" t="s">
        <v>287</v>
      </c>
      <c r="C37" s="13" t="s">
        <v>288</v>
      </c>
      <c r="D37" s="23">
        <v>749.5</v>
      </c>
      <c r="E37" s="23">
        <v>247</v>
      </c>
      <c r="F37" s="23">
        <v>24</v>
      </c>
      <c r="G37" s="23">
        <f t="shared" si="0"/>
        <v>1020.5</v>
      </c>
      <c r="H37" s="23">
        <v>121</v>
      </c>
      <c r="I37" s="23">
        <v>408</v>
      </c>
    </row>
    <row r="38" spans="1:9" ht="15">
      <c r="A38" s="6">
        <v>30</v>
      </c>
      <c r="B38" s="13" t="s">
        <v>215</v>
      </c>
      <c r="C38" s="13" t="s">
        <v>214</v>
      </c>
      <c r="D38" s="23">
        <v>964.6</v>
      </c>
      <c r="E38" s="23">
        <v>111</v>
      </c>
      <c r="F38" s="23">
        <v>20</v>
      </c>
      <c r="G38" s="23">
        <f t="shared" si="0"/>
        <v>1095.6</v>
      </c>
      <c r="H38" s="23">
        <v>137</v>
      </c>
      <c r="I38" s="23">
        <v>981</v>
      </c>
    </row>
    <row r="39" spans="1:9" s="68" customFormat="1" ht="30">
      <c r="A39" s="6">
        <v>31</v>
      </c>
      <c r="B39" s="13" t="s">
        <v>183</v>
      </c>
      <c r="C39" s="13" t="s">
        <v>184</v>
      </c>
      <c r="D39" s="23">
        <v>737.24</v>
      </c>
      <c r="E39" s="23">
        <v>144</v>
      </c>
      <c r="F39" s="23">
        <v>24</v>
      </c>
      <c r="G39" s="23">
        <f t="shared" si="0"/>
        <v>905.24</v>
      </c>
      <c r="H39" s="23">
        <v>158</v>
      </c>
      <c r="I39" s="23">
        <v>1074</v>
      </c>
    </row>
    <row r="40" spans="1:9" ht="15">
      <c r="A40" s="6">
        <v>32</v>
      </c>
      <c r="B40" s="13" t="s">
        <v>289</v>
      </c>
      <c r="C40" s="13" t="s">
        <v>290</v>
      </c>
      <c r="D40" s="23">
        <v>495.2</v>
      </c>
      <c r="E40" s="23">
        <v>93.5</v>
      </c>
      <c r="F40" s="23">
        <v>13</v>
      </c>
      <c r="G40" s="23">
        <f t="shared" si="0"/>
        <v>601.7</v>
      </c>
      <c r="H40" s="23">
        <v>141</v>
      </c>
      <c r="I40" s="23">
        <v>576</v>
      </c>
    </row>
    <row r="41" spans="1:9" ht="15">
      <c r="A41" s="6">
        <v>33</v>
      </c>
      <c r="B41" s="13" t="s">
        <v>218</v>
      </c>
      <c r="C41" s="13" t="s">
        <v>217</v>
      </c>
      <c r="D41" s="23">
        <v>903</v>
      </c>
      <c r="E41" s="23">
        <v>118</v>
      </c>
      <c r="F41" s="23">
        <v>24</v>
      </c>
      <c r="G41" s="23">
        <f aca="true" t="shared" si="1" ref="G41:G72">D41+E41+F41</f>
        <v>1045</v>
      </c>
      <c r="H41" s="23">
        <v>109</v>
      </c>
      <c r="I41" s="23">
        <v>919.5</v>
      </c>
    </row>
    <row r="42" spans="1:9" s="8" customFormat="1" ht="30.75">
      <c r="A42" s="6">
        <v>34</v>
      </c>
      <c r="B42" s="13" t="s">
        <v>44</v>
      </c>
      <c r="C42" s="13" t="s">
        <v>45</v>
      </c>
      <c r="D42" s="23">
        <v>854.4</v>
      </c>
      <c r="E42" s="23">
        <v>130</v>
      </c>
      <c r="F42" s="23">
        <v>24</v>
      </c>
      <c r="G42" s="23">
        <f t="shared" si="1"/>
        <v>1008.4</v>
      </c>
      <c r="H42" s="23">
        <v>135</v>
      </c>
      <c r="I42" s="23">
        <v>1288</v>
      </c>
    </row>
    <row r="43" spans="1:9" s="8" customFormat="1" ht="15.75">
      <c r="A43" s="6">
        <v>35</v>
      </c>
      <c r="B43" s="13" t="s">
        <v>220</v>
      </c>
      <c r="C43" s="13" t="s">
        <v>219</v>
      </c>
      <c r="D43" s="23">
        <v>410.6</v>
      </c>
      <c r="E43" s="23">
        <v>106.7</v>
      </c>
      <c r="F43" s="23">
        <v>24</v>
      </c>
      <c r="G43" s="23">
        <f t="shared" si="1"/>
        <v>541.3000000000001</v>
      </c>
      <c r="H43" s="23">
        <v>146</v>
      </c>
      <c r="I43" s="23">
        <v>583.5</v>
      </c>
    </row>
    <row r="44" spans="1:9" s="8" customFormat="1" ht="30.75">
      <c r="A44" s="6">
        <v>36</v>
      </c>
      <c r="B44" s="13" t="s">
        <v>46</v>
      </c>
      <c r="C44" s="13" t="s">
        <v>47</v>
      </c>
      <c r="D44" s="23">
        <v>1152.8</v>
      </c>
      <c r="E44" s="23">
        <v>363.5</v>
      </c>
      <c r="F44" s="23">
        <v>36</v>
      </c>
      <c r="G44" s="23">
        <f t="shared" si="1"/>
        <v>1552.3</v>
      </c>
      <c r="H44" s="23">
        <v>312</v>
      </c>
      <c r="I44" s="23">
        <v>1276</v>
      </c>
    </row>
    <row r="45" spans="1:9" s="8" customFormat="1" ht="15.75">
      <c r="A45" s="6">
        <v>37</v>
      </c>
      <c r="B45" s="13" t="s">
        <v>48</v>
      </c>
      <c r="C45" s="13" t="s">
        <v>49</v>
      </c>
      <c r="D45" s="23">
        <v>1067.2</v>
      </c>
      <c r="E45" s="23">
        <v>156</v>
      </c>
      <c r="F45" s="23">
        <v>20</v>
      </c>
      <c r="G45" s="23">
        <f t="shared" si="1"/>
        <v>1243.2</v>
      </c>
      <c r="H45" s="23">
        <v>147</v>
      </c>
      <c r="I45" s="23">
        <v>1271</v>
      </c>
    </row>
    <row r="46" spans="1:9" s="8" customFormat="1" ht="30.75">
      <c r="A46" s="6">
        <v>38</v>
      </c>
      <c r="B46" s="13" t="s">
        <v>222</v>
      </c>
      <c r="C46" s="13" t="s">
        <v>221</v>
      </c>
      <c r="D46" s="23">
        <v>4569.17</v>
      </c>
      <c r="E46" s="23">
        <v>954</v>
      </c>
      <c r="F46" s="23">
        <v>84</v>
      </c>
      <c r="G46" s="23">
        <f t="shared" si="1"/>
        <v>5607.17</v>
      </c>
      <c r="H46" s="23">
        <v>822</v>
      </c>
      <c r="I46" s="23">
        <v>4280</v>
      </c>
    </row>
    <row r="47" spans="1:9" s="8" customFormat="1" ht="30.75">
      <c r="A47" s="6">
        <v>39</v>
      </c>
      <c r="B47" s="13" t="s">
        <v>50</v>
      </c>
      <c r="C47" s="13" t="s">
        <v>51</v>
      </c>
      <c r="D47" s="23">
        <v>412.4</v>
      </c>
      <c r="E47" s="23">
        <v>132.57</v>
      </c>
      <c r="F47" s="23">
        <v>24</v>
      </c>
      <c r="G47" s="23">
        <f t="shared" si="1"/>
        <v>568.97</v>
      </c>
      <c r="H47" s="23">
        <v>140</v>
      </c>
      <c r="I47" s="23">
        <v>555</v>
      </c>
    </row>
    <row r="48" spans="1:9" s="8" customFormat="1" ht="30.75">
      <c r="A48" s="6">
        <v>40</v>
      </c>
      <c r="B48" s="13" t="s">
        <v>52</v>
      </c>
      <c r="C48" s="13" t="s">
        <v>53</v>
      </c>
      <c r="D48" s="23">
        <v>591.36</v>
      </c>
      <c r="E48" s="23">
        <v>176</v>
      </c>
      <c r="F48" s="23">
        <v>24</v>
      </c>
      <c r="G48" s="23">
        <f t="shared" si="1"/>
        <v>791.36</v>
      </c>
      <c r="H48" s="23">
        <v>123</v>
      </c>
      <c r="I48" s="23">
        <v>853</v>
      </c>
    </row>
    <row r="49" spans="1:9" s="8" customFormat="1" ht="15.75">
      <c r="A49" s="6">
        <v>41</v>
      </c>
      <c r="B49" s="13" t="s">
        <v>185</v>
      </c>
      <c r="C49" s="13" t="s">
        <v>186</v>
      </c>
      <c r="D49" s="23">
        <v>766.08</v>
      </c>
      <c r="E49" s="23">
        <v>80</v>
      </c>
      <c r="F49" s="23">
        <v>24</v>
      </c>
      <c r="G49" s="23">
        <f t="shared" si="1"/>
        <v>870.08</v>
      </c>
      <c r="H49" s="23">
        <v>147</v>
      </c>
      <c r="I49" s="23">
        <v>859</v>
      </c>
    </row>
    <row r="50" spans="1:9" s="8" customFormat="1" ht="15.75">
      <c r="A50" s="6">
        <v>42</v>
      </c>
      <c r="B50" s="13" t="s">
        <v>224</v>
      </c>
      <c r="C50" s="13" t="s">
        <v>223</v>
      </c>
      <c r="D50" s="23">
        <v>1211</v>
      </c>
      <c r="E50" s="23">
        <v>270.5</v>
      </c>
      <c r="F50" s="23">
        <v>36</v>
      </c>
      <c r="G50" s="23">
        <f t="shared" si="1"/>
        <v>1517.5</v>
      </c>
      <c r="H50" s="23">
        <v>266</v>
      </c>
      <c r="I50" s="23">
        <v>1663</v>
      </c>
    </row>
    <row r="51" spans="1:9" s="8" customFormat="1" ht="30.75">
      <c r="A51" s="6">
        <v>43</v>
      </c>
      <c r="B51" s="13" t="s">
        <v>291</v>
      </c>
      <c r="C51" s="13" t="s">
        <v>292</v>
      </c>
      <c r="D51" s="23">
        <v>503</v>
      </c>
      <c r="E51" s="23">
        <v>75.71</v>
      </c>
      <c r="F51" s="23">
        <v>20</v>
      </c>
      <c r="G51" s="23">
        <f t="shared" si="1"/>
        <v>598.71</v>
      </c>
      <c r="H51" s="23">
        <v>120</v>
      </c>
      <c r="I51" s="23">
        <v>496</v>
      </c>
    </row>
    <row r="52" spans="1:9" s="8" customFormat="1" ht="15.75">
      <c r="A52" s="6">
        <v>44</v>
      </c>
      <c r="B52" s="13" t="s">
        <v>54</v>
      </c>
      <c r="C52" s="13" t="s">
        <v>55</v>
      </c>
      <c r="D52" s="23">
        <v>1841.6</v>
      </c>
      <c r="E52" s="23">
        <v>243</v>
      </c>
      <c r="F52" s="23">
        <v>36</v>
      </c>
      <c r="G52" s="23">
        <f t="shared" si="1"/>
        <v>2120.6</v>
      </c>
      <c r="H52" s="23">
        <v>302</v>
      </c>
      <c r="I52" s="23">
        <v>1510</v>
      </c>
    </row>
    <row r="53" spans="1:9" s="8" customFormat="1" ht="15.75">
      <c r="A53" s="6">
        <v>45</v>
      </c>
      <c r="B53" s="13" t="s">
        <v>56</v>
      </c>
      <c r="C53" s="13" t="s">
        <v>57</v>
      </c>
      <c r="D53" s="23">
        <v>675</v>
      </c>
      <c r="E53" s="23">
        <v>74.64</v>
      </c>
      <c r="F53" s="23">
        <v>24</v>
      </c>
      <c r="G53" s="23">
        <f t="shared" si="1"/>
        <v>773.64</v>
      </c>
      <c r="H53" s="23">
        <v>119</v>
      </c>
      <c r="I53" s="23">
        <v>758</v>
      </c>
    </row>
    <row r="54" spans="1:9" ht="30">
      <c r="A54" s="6">
        <v>46</v>
      </c>
      <c r="B54" s="13" t="s">
        <v>293</v>
      </c>
      <c r="C54" s="13" t="s">
        <v>294</v>
      </c>
      <c r="D54" s="23">
        <v>304.6</v>
      </c>
      <c r="E54" s="23">
        <v>66.64</v>
      </c>
      <c r="F54" s="23">
        <v>20</v>
      </c>
      <c r="G54" s="23">
        <f t="shared" si="1"/>
        <v>391.24</v>
      </c>
      <c r="H54" s="23">
        <v>98</v>
      </c>
      <c r="I54" s="23">
        <v>368</v>
      </c>
    </row>
    <row r="55" spans="1:9" ht="30">
      <c r="A55" s="6">
        <v>47</v>
      </c>
      <c r="B55" s="13" t="s">
        <v>58</v>
      </c>
      <c r="C55" s="13" t="s">
        <v>59</v>
      </c>
      <c r="D55" s="23">
        <v>1577.8</v>
      </c>
      <c r="E55" s="23">
        <v>476.24</v>
      </c>
      <c r="F55" s="23">
        <v>48</v>
      </c>
      <c r="G55" s="23">
        <f t="shared" si="1"/>
        <v>2102.04</v>
      </c>
      <c r="H55" s="23">
        <v>400</v>
      </c>
      <c r="I55" s="23">
        <v>1802</v>
      </c>
    </row>
    <row r="56" spans="1:9" ht="15">
      <c r="A56" s="6">
        <v>48</v>
      </c>
      <c r="B56" s="13" t="s">
        <v>295</v>
      </c>
      <c r="C56" s="13" t="s">
        <v>296</v>
      </c>
      <c r="D56" s="23">
        <f>856+520</f>
        <v>1376</v>
      </c>
      <c r="E56" s="23">
        <f>290+113.75</f>
        <v>403.75</v>
      </c>
      <c r="F56" s="23">
        <f>24+12</f>
        <v>36</v>
      </c>
      <c r="G56" s="23">
        <f t="shared" si="1"/>
        <v>1815.75</v>
      </c>
      <c r="H56" s="23">
        <f>154+140</f>
        <v>294</v>
      </c>
      <c r="I56" s="23">
        <f>936+715</f>
        <v>1651</v>
      </c>
    </row>
    <row r="57" spans="1:9" ht="15">
      <c r="A57" s="6">
        <v>49</v>
      </c>
      <c r="B57" s="13" t="s">
        <v>227</v>
      </c>
      <c r="C57" s="13" t="s">
        <v>226</v>
      </c>
      <c r="D57" s="23">
        <v>932.6</v>
      </c>
      <c r="E57" s="23">
        <v>127</v>
      </c>
      <c r="F57" s="23">
        <v>24</v>
      </c>
      <c r="G57" s="23">
        <f t="shared" si="1"/>
        <v>1083.6</v>
      </c>
      <c r="H57" s="23">
        <v>156</v>
      </c>
      <c r="I57" s="23">
        <v>1280</v>
      </c>
    </row>
    <row r="58" spans="1:9" ht="15">
      <c r="A58" s="6">
        <v>50</v>
      </c>
      <c r="B58" s="16" t="s">
        <v>62</v>
      </c>
      <c r="C58" s="13" t="s">
        <v>63</v>
      </c>
      <c r="D58" s="23">
        <v>1720.92</v>
      </c>
      <c r="E58" s="23">
        <v>206</v>
      </c>
      <c r="F58" s="23">
        <v>36</v>
      </c>
      <c r="G58" s="23">
        <f t="shared" si="1"/>
        <v>1962.92</v>
      </c>
      <c r="H58" s="23">
        <v>280</v>
      </c>
      <c r="I58" s="23">
        <v>2340</v>
      </c>
    </row>
    <row r="59" spans="1:9" ht="15">
      <c r="A59" s="6">
        <v>51</v>
      </c>
      <c r="B59" s="16" t="s">
        <v>64</v>
      </c>
      <c r="C59" s="13" t="s">
        <v>65</v>
      </c>
      <c r="D59" s="23">
        <v>3784.5</v>
      </c>
      <c r="E59" s="23">
        <v>1111.86</v>
      </c>
      <c r="F59" s="23">
        <v>84</v>
      </c>
      <c r="G59" s="23">
        <f t="shared" si="1"/>
        <v>4980.36</v>
      </c>
      <c r="H59" s="23">
        <v>590</v>
      </c>
      <c r="I59" s="23">
        <v>2477</v>
      </c>
    </row>
    <row r="60" spans="1:9" ht="30">
      <c r="A60" s="6">
        <v>52</v>
      </c>
      <c r="B60" s="16" t="s">
        <v>66</v>
      </c>
      <c r="C60" s="13" t="s">
        <v>67</v>
      </c>
      <c r="D60" s="23">
        <v>548.8</v>
      </c>
      <c r="E60" s="23">
        <v>162.14</v>
      </c>
      <c r="F60" s="23">
        <v>15</v>
      </c>
      <c r="G60" s="23">
        <f t="shared" si="1"/>
        <v>725.9399999999999</v>
      </c>
      <c r="H60" s="23">
        <v>132</v>
      </c>
      <c r="I60" s="23">
        <v>880</v>
      </c>
    </row>
    <row r="61" spans="1:9" ht="15">
      <c r="A61" s="6">
        <v>53</v>
      </c>
      <c r="B61" s="13" t="s">
        <v>73</v>
      </c>
      <c r="C61" s="13" t="s">
        <v>74</v>
      </c>
      <c r="D61" s="23">
        <v>232.2</v>
      </c>
      <c r="E61" s="23">
        <v>57.5</v>
      </c>
      <c r="F61" s="23">
        <v>19</v>
      </c>
      <c r="G61" s="23">
        <f t="shared" si="1"/>
        <v>308.7</v>
      </c>
      <c r="H61" s="23">
        <v>137</v>
      </c>
      <c r="I61" s="23">
        <v>377</v>
      </c>
    </row>
    <row r="62" spans="1:9" ht="30">
      <c r="A62" s="6">
        <v>54</v>
      </c>
      <c r="B62" s="13" t="s">
        <v>231</v>
      </c>
      <c r="C62" s="13" t="s">
        <v>230</v>
      </c>
      <c r="D62" s="23">
        <v>376.2</v>
      </c>
      <c r="E62" s="23">
        <v>94</v>
      </c>
      <c r="F62" s="23">
        <v>20</v>
      </c>
      <c r="G62" s="23">
        <f t="shared" si="1"/>
        <v>490.2</v>
      </c>
      <c r="H62" s="23">
        <v>94</v>
      </c>
      <c r="I62" s="23">
        <v>455</v>
      </c>
    </row>
    <row r="63" spans="1:9" ht="15">
      <c r="A63" s="6">
        <v>55</v>
      </c>
      <c r="B63" s="13" t="s">
        <v>236</v>
      </c>
      <c r="C63" s="13" t="s">
        <v>235</v>
      </c>
      <c r="D63" s="23">
        <v>860.4</v>
      </c>
      <c r="E63" s="23">
        <v>96</v>
      </c>
      <c r="F63" s="23">
        <v>24</v>
      </c>
      <c r="G63" s="23">
        <f t="shared" si="1"/>
        <v>980.4</v>
      </c>
      <c r="H63" s="23">
        <v>147</v>
      </c>
      <c r="I63" s="23">
        <v>580</v>
      </c>
    </row>
    <row r="64" spans="1:9" ht="30">
      <c r="A64" s="6">
        <v>56</v>
      </c>
      <c r="B64" s="16" t="s">
        <v>75</v>
      </c>
      <c r="C64" s="13" t="s">
        <v>76</v>
      </c>
      <c r="D64" s="23">
        <v>2485</v>
      </c>
      <c r="E64" s="23">
        <v>228</v>
      </c>
      <c r="F64" s="23">
        <v>36</v>
      </c>
      <c r="G64" s="23">
        <f t="shared" si="1"/>
        <v>2749</v>
      </c>
      <c r="H64" s="23">
        <v>235</v>
      </c>
      <c r="I64" s="23">
        <v>1470</v>
      </c>
    </row>
    <row r="65" spans="1:9" ht="30">
      <c r="A65" s="6">
        <v>57</v>
      </c>
      <c r="B65" s="13" t="s">
        <v>238</v>
      </c>
      <c r="C65" s="13" t="s">
        <v>237</v>
      </c>
      <c r="D65" s="23">
        <v>697.6</v>
      </c>
      <c r="E65" s="23">
        <v>115</v>
      </c>
      <c r="F65" s="23">
        <v>15</v>
      </c>
      <c r="G65" s="23">
        <f t="shared" si="1"/>
        <v>827.6</v>
      </c>
      <c r="H65" s="23">
        <v>131</v>
      </c>
      <c r="I65" s="23">
        <v>985</v>
      </c>
    </row>
    <row r="66" spans="1:9" ht="15">
      <c r="A66" s="6">
        <v>58</v>
      </c>
      <c r="B66" s="13" t="s">
        <v>77</v>
      </c>
      <c r="C66" s="13" t="s">
        <v>78</v>
      </c>
      <c r="D66" s="23">
        <v>454.08</v>
      </c>
      <c r="E66" s="23">
        <v>125.71</v>
      </c>
      <c r="F66" s="23">
        <v>20</v>
      </c>
      <c r="G66" s="23">
        <f t="shared" si="1"/>
        <v>599.79</v>
      </c>
      <c r="H66" s="23">
        <v>109</v>
      </c>
      <c r="I66" s="23">
        <v>443</v>
      </c>
    </row>
    <row r="67" spans="1:9" ht="15">
      <c r="A67" s="6">
        <v>59</v>
      </c>
      <c r="B67" s="16" t="s">
        <v>297</v>
      </c>
      <c r="C67" s="13" t="s">
        <v>298</v>
      </c>
      <c r="D67" s="23">
        <f>433+470+630+393</f>
        <v>1926</v>
      </c>
      <c r="E67" s="23">
        <f>86.25+64.68+60.86+67.82</f>
        <v>279.61</v>
      </c>
      <c r="F67" s="23">
        <f>10+13+10+10</f>
        <v>43</v>
      </c>
      <c r="G67" s="23">
        <f t="shared" si="1"/>
        <v>2248.61</v>
      </c>
      <c r="H67" s="23">
        <f>152+152+152+152</f>
        <v>608</v>
      </c>
      <c r="I67" s="23">
        <f>798+818.5+814.5+814.5</f>
        <v>3245.5</v>
      </c>
    </row>
    <row r="68" spans="1:9" ht="30">
      <c r="A68" s="6">
        <v>60</v>
      </c>
      <c r="B68" s="16" t="s">
        <v>299</v>
      </c>
      <c r="C68" s="13" t="s">
        <v>300</v>
      </c>
      <c r="D68" s="23">
        <v>734.4</v>
      </c>
      <c r="E68" s="23">
        <v>168.75</v>
      </c>
      <c r="F68" s="23">
        <v>24</v>
      </c>
      <c r="G68" s="23">
        <f t="shared" si="1"/>
        <v>927.15</v>
      </c>
      <c r="H68" s="23">
        <v>100</v>
      </c>
      <c r="I68" s="23">
        <v>886</v>
      </c>
    </row>
    <row r="69" spans="1:9" ht="30">
      <c r="A69" s="6">
        <v>61</v>
      </c>
      <c r="B69" s="13" t="s">
        <v>81</v>
      </c>
      <c r="C69" s="13" t="s">
        <v>82</v>
      </c>
      <c r="D69" s="23">
        <v>933.12</v>
      </c>
      <c r="E69" s="23">
        <v>130</v>
      </c>
      <c r="F69" s="23">
        <v>24</v>
      </c>
      <c r="G69" s="23">
        <f t="shared" si="1"/>
        <v>1087.12</v>
      </c>
      <c r="H69" s="23">
        <v>157</v>
      </c>
      <c r="I69" s="23">
        <v>760</v>
      </c>
    </row>
    <row r="70" spans="1:9" ht="30">
      <c r="A70" s="6">
        <v>62</v>
      </c>
      <c r="B70" s="13" t="s">
        <v>301</v>
      </c>
      <c r="C70" s="13" t="s">
        <v>302</v>
      </c>
      <c r="D70" s="30">
        <v>468</v>
      </c>
      <c r="E70" s="23">
        <v>133.57</v>
      </c>
      <c r="F70" s="23">
        <v>15</v>
      </c>
      <c r="G70" s="23">
        <f t="shared" si="1"/>
        <v>616.5699999999999</v>
      </c>
      <c r="H70" s="23">
        <v>135</v>
      </c>
      <c r="I70" s="23">
        <v>592</v>
      </c>
    </row>
    <row r="71" spans="1:9" ht="15">
      <c r="A71" s="6">
        <v>63</v>
      </c>
      <c r="B71" s="16" t="s">
        <v>240</v>
      </c>
      <c r="C71" s="13" t="s">
        <v>241</v>
      </c>
      <c r="D71" s="23">
        <v>561.6</v>
      </c>
      <c r="E71" s="23">
        <v>189</v>
      </c>
      <c r="F71" s="23">
        <v>15</v>
      </c>
      <c r="G71" s="23">
        <f t="shared" si="1"/>
        <v>765.6</v>
      </c>
      <c r="H71" s="23">
        <v>114</v>
      </c>
      <c r="I71" s="23">
        <v>1092</v>
      </c>
    </row>
    <row r="72" spans="1:9" ht="30">
      <c r="A72" s="6">
        <v>64</v>
      </c>
      <c r="B72" s="16" t="s">
        <v>83</v>
      </c>
      <c r="C72" s="13" t="s">
        <v>84</v>
      </c>
      <c r="D72" s="23">
        <v>828.44</v>
      </c>
      <c r="E72" s="38">
        <v>98.57</v>
      </c>
      <c r="F72" s="23">
        <v>24</v>
      </c>
      <c r="G72" s="23">
        <f t="shared" si="1"/>
        <v>951.01</v>
      </c>
      <c r="H72" s="23">
        <v>156</v>
      </c>
      <c r="I72" s="23">
        <v>540</v>
      </c>
    </row>
    <row r="73" spans="1:9" ht="15">
      <c r="A73" s="6">
        <v>65</v>
      </c>
      <c r="B73" s="16" t="s">
        <v>85</v>
      </c>
      <c r="C73" s="13" t="s">
        <v>86</v>
      </c>
      <c r="D73" s="23">
        <v>686.2</v>
      </c>
      <c r="E73" s="23">
        <v>262.14</v>
      </c>
      <c r="F73" s="23">
        <v>27</v>
      </c>
      <c r="G73" s="23">
        <f aca="true" t="shared" si="2" ref="G73:G104">D73+E73+F73</f>
        <v>975.34</v>
      </c>
      <c r="H73" s="23">
        <v>258</v>
      </c>
      <c r="I73" s="23">
        <v>1063</v>
      </c>
    </row>
    <row r="74" spans="1:9" ht="30">
      <c r="A74" s="6">
        <v>66</v>
      </c>
      <c r="B74" s="13" t="s">
        <v>91</v>
      </c>
      <c r="C74" s="13" t="s">
        <v>92</v>
      </c>
      <c r="D74" s="23">
        <v>751.56</v>
      </c>
      <c r="E74" s="23">
        <v>155.86</v>
      </c>
      <c r="F74" s="23">
        <v>36</v>
      </c>
      <c r="G74" s="23">
        <f t="shared" si="2"/>
        <v>943.42</v>
      </c>
      <c r="H74" s="23">
        <v>284</v>
      </c>
      <c r="I74" s="23">
        <v>1088</v>
      </c>
    </row>
    <row r="75" spans="1:9" ht="30">
      <c r="A75" s="6">
        <v>67</v>
      </c>
      <c r="B75" s="16" t="s">
        <v>93</v>
      </c>
      <c r="C75" s="13" t="s">
        <v>94</v>
      </c>
      <c r="D75" s="23">
        <v>602.79</v>
      </c>
      <c r="E75" s="23">
        <v>90</v>
      </c>
      <c r="F75" s="26">
        <v>12</v>
      </c>
      <c r="G75" s="23">
        <f t="shared" si="2"/>
        <v>704.79</v>
      </c>
      <c r="H75" s="23">
        <v>161</v>
      </c>
      <c r="I75" s="23">
        <v>612</v>
      </c>
    </row>
    <row r="76" spans="1:9" ht="30">
      <c r="A76" s="6">
        <v>68</v>
      </c>
      <c r="B76" s="16" t="s">
        <v>187</v>
      </c>
      <c r="C76" s="13" t="s">
        <v>188</v>
      </c>
      <c r="D76" s="23">
        <v>1094.6</v>
      </c>
      <c r="E76" s="23">
        <v>190.71</v>
      </c>
      <c r="F76" s="23">
        <v>19</v>
      </c>
      <c r="G76" s="23">
        <f t="shared" si="2"/>
        <v>1304.31</v>
      </c>
      <c r="H76" s="23">
        <v>136</v>
      </c>
      <c r="I76" s="23">
        <v>888</v>
      </c>
    </row>
    <row r="77" spans="1:9" ht="30">
      <c r="A77" s="6">
        <v>69</v>
      </c>
      <c r="B77" s="16" t="s">
        <v>97</v>
      </c>
      <c r="C77" s="13" t="s">
        <v>98</v>
      </c>
      <c r="D77" s="23">
        <v>1138</v>
      </c>
      <c r="E77" s="23">
        <v>167.29</v>
      </c>
      <c r="F77" s="23">
        <v>24</v>
      </c>
      <c r="G77" s="23">
        <f t="shared" si="2"/>
        <v>1329.29</v>
      </c>
      <c r="H77" s="23">
        <v>158</v>
      </c>
      <c r="I77" s="23">
        <v>1248</v>
      </c>
    </row>
    <row r="78" spans="1:9" ht="15">
      <c r="A78" s="6">
        <v>70</v>
      </c>
      <c r="B78" s="16" t="s">
        <v>189</v>
      </c>
      <c r="C78" s="16" t="s">
        <v>190</v>
      </c>
      <c r="D78" s="23">
        <v>454.4</v>
      </c>
      <c r="E78" s="23">
        <v>125</v>
      </c>
      <c r="F78" s="23">
        <v>15</v>
      </c>
      <c r="G78" s="23">
        <f t="shared" si="2"/>
        <v>594.4</v>
      </c>
      <c r="H78" s="23">
        <v>129</v>
      </c>
      <c r="I78" s="23">
        <v>740</v>
      </c>
    </row>
    <row r="79" spans="1:9" ht="15">
      <c r="A79" s="6">
        <v>71</v>
      </c>
      <c r="B79" s="16" t="s">
        <v>172</v>
      </c>
      <c r="C79" s="27" t="s">
        <v>173</v>
      </c>
      <c r="D79" s="26">
        <v>266.6</v>
      </c>
      <c r="E79" s="26">
        <v>114</v>
      </c>
      <c r="F79" s="26">
        <v>12</v>
      </c>
      <c r="G79" s="23">
        <f t="shared" si="2"/>
        <v>392.6</v>
      </c>
      <c r="H79" s="26">
        <v>82</v>
      </c>
      <c r="I79" s="26"/>
    </row>
    <row r="80" spans="1:9" ht="15">
      <c r="A80" s="6">
        <v>72</v>
      </c>
      <c r="B80" s="16" t="s">
        <v>101</v>
      </c>
      <c r="C80" s="13" t="s">
        <v>102</v>
      </c>
      <c r="D80" s="23">
        <v>366</v>
      </c>
      <c r="E80" s="23">
        <v>125</v>
      </c>
      <c r="F80" s="23">
        <v>15</v>
      </c>
      <c r="G80" s="23">
        <f t="shared" si="2"/>
        <v>506</v>
      </c>
      <c r="H80" s="23">
        <v>125</v>
      </c>
      <c r="I80" s="23">
        <v>484</v>
      </c>
    </row>
    <row r="81" spans="1:9" ht="30">
      <c r="A81" s="6">
        <v>73</v>
      </c>
      <c r="B81" s="16" t="s">
        <v>103</v>
      </c>
      <c r="C81" s="13" t="s">
        <v>104</v>
      </c>
      <c r="D81" s="23">
        <v>732.6</v>
      </c>
      <c r="E81" s="23">
        <v>185</v>
      </c>
      <c r="F81" s="23">
        <v>24</v>
      </c>
      <c r="G81" s="23">
        <f t="shared" si="2"/>
        <v>941.6</v>
      </c>
      <c r="H81" s="23">
        <v>153</v>
      </c>
      <c r="I81" s="23">
        <v>936</v>
      </c>
    </row>
    <row r="82" spans="1:9" ht="15">
      <c r="A82" s="6">
        <v>74</v>
      </c>
      <c r="B82" s="16" t="s">
        <v>245</v>
      </c>
      <c r="C82" s="13" t="s">
        <v>244</v>
      </c>
      <c r="D82" s="23">
        <v>2022</v>
      </c>
      <c r="E82" s="23">
        <v>380</v>
      </c>
      <c r="F82" s="23">
        <v>36</v>
      </c>
      <c r="G82" s="23">
        <f t="shared" si="2"/>
        <v>2438</v>
      </c>
      <c r="H82" s="23">
        <v>311</v>
      </c>
      <c r="I82" s="23">
        <v>2276</v>
      </c>
    </row>
    <row r="83" spans="1:9" ht="15">
      <c r="A83" s="6">
        <v>75</v>
      </c>
      <c r="B83" s="16" t="s">
        <v>303</v>
      </c>
      <c r="C83" s="13" t="s">
        <v>304</v>
      </c>
      <c r="D83" s="23">
        <v>308.24</v>
      </c>
      <c r="E83" s="23">
        <v>82.5</v>
      </c>
      <c r="F83" s="23">
        <v>24</v>
      </c>
      <c r="G83" s="23">
        <f t="shared" si="2"/>
        <v>414.74</v>
      </c>
      <c r="H83" s="23">
        <v>131</v>
      </c>
      <c r="I83" s="23">
        <v>480</v>
      </c>
    </row>
    <row r="84" spans="1:9" ht="30">
      <c r="A84" s="6">
        <v>76</v>
      </c>
      <c r="B84" s="16" t="s">
        <v>305</v>
      </c>
      <c r="C84" s="13" t="s">
        <v>306</v>
      </c>
      <c r="D84" s="23">
        <v>1170</v>
      </c>
      <c r="E84" s="23">
        <v>261</v>
      </c>
      <c r="F84" s="23">
        <v>20</v>
      </c>
      <c r="G84" s="23">
        <f t="shared" si="2"/>
        <v>1451</v>
      </c>
      <c r="H84" s="23">
        <v>152</v>
      </c>
      <c r="I84" s="23">
        <v>1007.5</v>
      </c>
    </row>
    <row r="85" spans="1:9" ht="15">
      <c r="A85" s="6">
        <v>77</v>
      </c>
      <c r="B85" s="13" t="s">
        <v>250</v>
      </c>
      <c r="C85" s="13" t="s">
        <v>249</v>
      </c>
      <c r="D85" s="23">
        <v>743</v>
      </c>
      <c r="E85" s="23">
        <v>341</v>
      </c>
      <c r="F85" s="23">
        <v>24</v>
      </c>
      <c r="G85" s="23">
        <f t="shared" si="2"/>
        <v>1108</v>
      </c>
      <c r="H85" s="23">
        <v>150</v>
      </c>
      <c r="I85" s="23">
        <v>804</v>
      </c>
    </row>
    <row r="86" spans="1:9" ht="30">
      <c r="A86" s="6">
        <v>78</v>
      </c>
      <c r="B86" s="16" t="s">
        <v>113</v>
      </c>
      <c r="C86" s="13" t="s">
        <v>114</v>
      </c>
      <c r="D86" s="23">
        <v>657.6</v>
      </c>
      <c r="E86" s="23">
        <v>95</v>
      </c>
      <c r="F86" s="23">
        <v>19</v>
      </c>
      <c r="G86" s="23">
        <f t="shared" si="2"/>
        <v>771.6</v>
      </c>
      <c r="H86" s="23">
        <v>156</v>
      </c>
      <c r="I86" s="23">
        <v>1264</v>
      </c>
    </row>
    <row r="87" spans="1:9" ht="15">
      <c r="A87" s="6">
        <v>79</v>
      </c>
      <c r="B87" s="16" t="s">
        <v>115</v>
      </c>
      <c r="C87" s="16" t="s">
        <v>116</v>
      </c>
      <c r="D87" s="23">
        <v>731.12</v>
      </c>
      <c r="E87" s="23">
        <v>237.21</v>
      </c>
      <c r="F87" s="23">
        <v>36</v>
      </c>
      <c r="G87" s="23">
        <f t="shared" si="2"/>
        <v>1004.33</v>
      </c>
      <c r="H87" s="23">
        <v>318</v>
      </c>
      <c r="I87" s="23">
        <v>1336</v>
      </c>
    </row>
    <row r="88" spans="1:9" ht="30">
      <c r="A88" s="6">
        <v>80</v>
      </c>
      <c r="B88" s="16" t="s">
        <v>117</v>
      </c>
      <c r="C88" s="13" t="s">
        <v>118</v>
      </c>
      <c r="D88" s="23">
        <v>859.6</v>
      </c>
      <c r="E88" s="23">
        <v>158.57</v>
      </c>
      <c r="F88" s="23">
        <v>36</v>
      </c>
      <c r="G88" s="23">
        <f t="shared" si="2"/>
        <v>1054.17</v>
      </c>
      <c r="H88" s="23">
        <v>224</v>
      </c>
      <c r="I88" s="23">
        <v>928</v>
      </c>
    </row>
    <row r="89" spans="1:9" ht="30">
      <c r="A89" s="6">
        <v>81</v>
      </c>
      <c r="B89" s="16" t="s">
        <v>307</v>
      </c>
      <c r="C89" s="13" t="s">
        <v>308</v>
      </c>
      <c r="D89" s="23">
        <v>1110</v>
      </c>
      <c r="E89" s="23">
        <v>90</v>
      </c>
      <c r="F89" s="23">
        <v>20</v>
      </c>
      <c r="G89" s="23">
        <f t="shared" si="2"/>
        <v>1220</v>
      </c>
      <c r="H89" s="23">
        <v>133</v>
      </c>
      <c r="I89" s="23">
        <v>644</v>
      </c>
    </row>
    <row r="90" spans="1:9" ht="15">
      <c r="A90" s="6">
        <v>82</v>
      </c>
      <c r="B90" s="16" t="s">
        <v>191</v>
      </c>
      <c r="C90" s="13" t="s">
        <v>192</v>
      </c>
      <c r="D90" s="23">
        <v>417.12</v>
      </c>
      <c r="E90" s="23">
        <v>71.28</v>
      </c>
      <c r="F90" s="23">
        <v>13</v>
      </c>
      <c r="G90" s="23">
        <f t="shared" si="2"/>
        <v>501.4</v>
      </c>
      <c r="H90" s="23">
        <v>67</v>
      </c>
      <c r="I90" s="23">
        <v>596</v>
      </c>
    </row>
    <row r="91" spans="1:9" ht="15">
      <c r="A91" s="6">
        <v>83</v>
      </c>
      <c r="B91" s="16" t="s">
        <v>119</v>
      </c>
      <c r="C91" s="16" t="s">
        <v>120</v>
      </c>
      <c r="D91" s="23">
        <v>382</v>
      </c>
      <c r="E91" s="23">
        <v>128</v>
      </c>
      <c r="F91" s="23">
        <v>15</v>
      </c>
      <c r="G91" s="23">
        <f t="shared" si="2"/>
        <v>525</v>
      </c>
      <c r="H91" s="23">
        <v>61</v>
      </c>
      <c r="I91" s="23">
        <v>492</v>
      </c>
    </row>
    <row r="92" spans="1:9" ht="15">
      <c r="A92" s="6">
        <v>84</v>
      </c>
      <c r="B92" s="16" t="s">
        <v>121</v>
      </c>
      <c r="C92" s="13" t="s">
        <v>122</v>
      </c>
      <c r="D92" s="23">
        <v>536.84</v>
      </c>
      <c r="E92" s="23">
        <v>87.6</v>
      </c>
      <c r="F92" s="23">
        <v>24</v>
      </c>
      <c r="G92" s="23">
        <f t="shared" si="2"/>
        <v>648.44</v>
      </c>
      <c r="H92" s="23">
        <v>112</v>
      </c>
      <c r="I92" s="23">
        <v>536</v>
      </c>
    </row>
    <row r="93" spans="1:9" ht="15">
      <c r="A93" s="6">
        <v>85</v>
      </c>
      <c r="B93" s="16" t="s">
        <v>123</v>
      </c>
      <c r="C93" s="6" t="s">
        <v>164</v>
      </c>
      <c r="D93" s="23">
        <v>279</v>
      </c>
      <c r="E93" s="23">
        <v>109</v>
      </c>
      <c r="F93" s="23">
        <v>15</v>
      </c>
      <c r="G93" s="23">
        <f t="shared" si="2"/>
        <v>403</v>
      </c>
      <c r="H93" s="23">
        <v>95</v>
      </c>
      <c r="I93" s="23">
        <v>429</v>
      </c>
    </row>
    <row r="94" spans="1:9" ht="15">
      <c r="A94" s="6">
        <v>86</v>
      </c>
      <c r="B94" s="16" t="s">
        <v>193</v>
      </c>
      <c r="C94" s="13" t="s">
        <v>194</v>
      </c>
      <c r="D94" s="23">
        <v>892</v>
      </c>
      <c r="E94" s="23">
        <v>86.5</v>
      </c>
      <c r="F94" s="23">
        <v>24</v>
      </c>
      <c r="G94" s="23">
        <f t="shared" si="2"/>
        <v>1002.5</v>
      </c>
      <c r="H94" s="23">
        <v>109</v>
      </c>
      <c r="I94" s="23">
        <v>684</v>
      </c>
    </row>
    <row r="95" spans="1:9" ht="15">
      <c r="A95" s="6">
        <v>87</v>
      </c>
      <c r="B95" s="16" t="s">
        <v>309</v>
      </c>
      <c r="C95" s="13" t="s">
        <v>310</v>
      </c>
      <c r="D95" s="23">
        <f>230+351.6+241</f>
        <v>822.6</v>
      </c>
      <c r="E95" s="23">
        <f>77.5+80.5+80</f>
        <v>238</v>
      </c>
      <c r="F95" s="23">
        <f>12+15+12</f>
        <v>39</v>
      </c>
      <c r="G95" s="23">
        <f t="shared" si="2"/>
        <v>1099.6</v>
      </c>
      <c r="H95" s="23">
        <f>135+126+134</f>
        <v>395</v>
      </c>
      <c r="I95" s="23">
        <f>860+860+860</f>
        <v>2580</v>
      </c>
    </row>
    <row r="96" spans="1:9" ht="30">
      <c r="A96" s="6">
        <v>88</v>
      </c>
      <c r="B96" s="16" t="s">
        <v>124</v>
      </c>
      <c r="C96" s="13" t="s">
        <v>125</v>
      </c>
      <c r="D96" s="23">
        <v>1159.9</v>
      </c>
      <c r="E96" s="23">
        <v>115</v>
      </c>
      <c r="F96" s="23">
        <v>24</v>
      </c>
      <c r="G96" s="23">
        <f t="shared" si="2"/>
        <v>1298.9</v>
      </c>
      <c r="H96" s="23">
        <v>160</v>
      </c>
      <c r="I96" s="23">
        <v>685</v>
      </c>
    </row>
    <row r="97" spans="1:9" ht="15">
      <c r="A97" s="6">
        <v>89</v>
      </c>
      <c r="B97" s="16" t="s">
        <v>254</v>
      </c>
      <c r="C97" s="13" t="s">
        <v>253</v>
      </c>
      <c r="D97" s="23">
        <v>630.5</v>
      </c>
      <c r="E97" s="23">
        <v>119</v>
      </c>
      <c r="F97" s="23">
        <v>19</v>
      </c>
      <c r="G97" s="23">
        <f t="shared" si="2"/>
        <v>768.5</v>
      </c>
      <c r="H97" s="23">
        <v>159</v>
      </c>
      <c r="I97" s="23">
        <v>966</v>
      </c>
    </row>
    <row r="98" spans="1:9" ht="30">
      <c r="A98" s="6">
        <v>90</v>
      </c>
      <c r="B98" s="16" t="s">
        <v>195</v>
      </c>
      <c r="C98" s="13" t="s">
        <v>196</v>
      </c>
      <c r="D98" s="23">
        <v>762</v>
      </c>
      <c r="E98" s="23">
        <v>213.78</v>
      </c>
      <c r="F98" s="23">
        <v>20</v>
      </c>
      <c r="G98" s="23">
        <f t="shared" si="2"/>
        <v>995.78</v>
      </c>
      <c r="H98" s="23">
        <v>143</v>
      </c>
      <c r="I98" s="23">
        <v>1160.5</v>
      </c>
    </row>
    <row r="99" spans="1:9" ht="15">
      <c r="A99" s="6">
        <v>91</v>
      </c>
      <c r="B99" s="13" t="s">
        <v>256</v>
      </c>
      <c r="C99" s="13" t="s">
        <v>255</v>
      </c>
      <c r="D99" s="23">
        <v>599</v>
      </c>
      <c r="E99" s="23">
        <v>295</v>
      </c>
      <c r="F99" s="23">
        <v>15</v>
      </c>
      <c r="G99" s="23">
        <f t="shared" si="2"/>
        <v>909</v>
      </c>
      <c r="H99" s="23">
        <v>98</v>
      </c>
      <c r="I99" s="26">
        <v>232</v>
      </c>
    </row>
    <row r="100" spans="1:9" ht="15">
      <c r="A100" s="6">
        <v>92</v>
      </c>
      <c r="B100" s="16" t="s">
        <v>197</v>
      </c>
      <c r="C100" s="13" t="s">
        <v>198</v>
      </c>
      <c r="D100" s="23">
        <v>1425.6</v>
      </c>
      <c r="E100" s="23">
        <v>141.67</v>
      </c>
      <c r="F100" s="23">
        <v>36</v>
      </c>
      <c r="G100" s="23">
        <f t="shared" si="2"/>
        <v>1603.27</v>
      </c>
      <c r="H100" s="23">
        <v>292</v>
      </c>
      <c r="I100" s="23">
        <v>1656</v>
      </c>
    </row>
    <row r="101" spans="1:9" ht="15">
      <c r="A101" s="6">
        <v>93</v>
      </c>
      <c r="B101" s="16" t="s">
        <v>199</v>
      </c>
      <c r="C101" s="69" t="s">
        <v>200</v>
      </c>
      <c r="D101" s="23">
        <v>738.6</v>
      </c>
      <c r="E101" s="23">
        <v>105</v>
      </c>
      <c r="F101" s="23">
        <v>19</v>
      </c>
      <c r="G101" s="23">
        <f t="shared" si="2"/>
        <v>862.6</v>
      </c>
      <c r="H101" s="23">
        <v>155</v>
      </c>
      <c r="I101" s="23">
        <v>656</v>
      </c>
    </row>
    <row r="102" spans="1:9" ht="15">
      <c r="A102" s="6">
        <v>94</v>
      </c>
      <c r="B102" s="16" t="s">
        <v>201</v>
      </c>
      <c r="C102" s="69" t="s">
        <v>202</v>
      </c>
      <c r="D102" s="23">
        <v>841.4</v>
      </c>
      <c r="E102" s="23">
        <v>125</v>
      </c>
      <c r="F102" s="23">
        <v>24</v>
      </c>
      <c r="G102" s="23">
        <f t="shared" si="2"/>
        <v>990.4</v>
      </c>
      <c r="H102" s="23">
        <v>129</v>
      </c>
      <c r="I102" s="23">
        <v>794</v>
      </c>
    </row>
    <row r="103" spans="1:9" ht="15">
      <c r="A103" s="6">
        <v>95</v>
      </c>
      <c r="B103" s="13" t="s">
        <v>258</v>
      </c>
      <c r="C103" s="13" t="s">
        <v>257</v>
      </c>
      <c r="D103" s="23">
        <v>923.4</v>
      </c>
      <c r="E103" s="23">
        <v>159.36</v>
      </c>
      <c r="F103" s="23">
        <v>15</v>
      </c>
      <c r="G103" s="23">
        <f t="shared" si="2"/>
        <v>1097.76</v>
      </c>
      <c r="H103" s="23">
        <v>230</v>
      </c>
      <c r="I103" s="23">
        <v>1152</v>
      </c>
    </row>
    <row r="104" spans="1:9" ht="15">
      <c r="A104" s="6">
        <v>96</v>
      </c>
      <c r="B104" s="18" t="s">
        <v>132</v>
      </c>
      <c r="C104" s="19" t="s">
        <v>133</v>
      </c>
      <c r="D104" s="23">
        <v>773.44</v>
      </c>
      <c r="E104" s="23">
        <v>130</v>
      </c>
      <c r="F104" s="23">
        <v>19</v>
      </c>
      <c r="G104" s="23">
        <f t="shared" si="2"/>
        <v>922.44</v>
      </c>
      <c r="H104" s="23">
        <v>112</v>
      </c>
      <c r="I104" s="23">
        <v>705</v>
      </c>
    </row>
    <row r="105" spans="1:9" ht="30">
      <c r="A105" s="6">
        <v>97</v>
      </c>
      <c r="B105" s="18" t="s">
        <v>134</v>
      </c>
      <c r="C105" s="19" t="s">
        <v>135</v>
      </c>
      <c r="D105" s="23">
        <v>390.6</v>
      </c>
      <c r="E105" s="23">
        <v>75.36</v>
      </c>
      <c r="F105" s="23">
        <v>24</v>
      </c>
      <c r="G105" s="23">
        <f aca="true" t="shared" si="3" ref="G105:G111">D105+E105+F105</f>
        <v>489.96000000000004</v>
      </c>
      <c r="H105" s="23">
        <v>136</v>
      </c>
      <c r="I105" s="23">
        <v>536</v>
      </c>
    </row>
    <row r="106" spans="1:9" ht="30">
      <c r="A106" s="6">
        <v>98</v>
      </c>
      <c r="B106" s="18" t="s">
        <v>136</v>
      </c>
      <c r="C106" s="19" t="s">
        <v>137</v>
      </c>
      <c r="D106" s="23">
        <v>689.8</v>
      </c>
      <c r="E106" s="23">
        <v>79.14</v>
      </c>
      <c r="F106" s="23">
        <v>24</v>
      </c>
      <c r="G106" s="23">
        <f t="shared" si="3"/>
        <v>792.9399999999999</v>
      </c>
      <c r="H106" s="23">
        <v>147</v>
      </c>
      <c r="I106" s="23">
        <v>649</v>
      </c>
    </row>
    <row r="107" spans="1:9" ht="30">
      <c r="A107" s="6"/>
      <c r="B107" s="18" t="s">
        <v>344</v>
      </c>
      <c r="C107" s="19" t="s">
        <v>345</v>
      </c>
      <c r="D107" s="23">
        <v>572</v>
      </c>
      <c r="E107" s="23">
        <v>70</v>
      </c>
      <c r="F107" s="23">
        <v>24</v>
      </c>
      <c r="G107" s="23">
        <f t="shared" si="3"/>
        <v>666</v>
      </c>
      <c r="H107" s="23">
        <v>144</v>
      </c>
      <c r="I107" s="23">
        <v>1204</v>
      </c>
    </row>
    <row r="108" spans="1:9" ht="30">
      <c r="A108" s="6">
        <v>99</v>
      </c>
      <c r="B108" s="18" t="s">
        <v>311</v>
      </c>
      <c r="C108" s="19" t="s">
        <v>312</v>
      </c>
      <c r="D108" s="23">
        <v>694</v>
      </c>
      <c r="E108" s="23">
        <v>161.07</v>
      </c>
      <c r="F108" s="23">
        <v>24</v>
      </c>
      <c r="G108" s="23">
        <f t="shared" si="3"/>
        <v>879.0699999999999</v>
      </c>
      <c r="H108" s="23">
        <v>144</v>
      </c>
      <c r="I108" s="23">
        <v>592</v>
      </c>
    </row>
    <row r="109" spans="1:9" ht="15">
      <c r="A109" s="6">
        <v>100</v>
      </c>
      <c r="B109" s="18" t="s">
        <v>171</v>
      </c>
      <c r="C109" s="19" t="s">
        <v>170</v>
      </c>
      <c r="D109" s="23">
        <v>793.2</v>
      </c>
      <c r="E109" s="23">
        <v>205.93</v>
      </c>
      <c r="F109" s="26">
        <v>24</v>
      </c>
      <c r="G109" s="23">
        <f t="shared" si="3"/>
        <v>1023.1300000000001</v>
      </c>
      <c r="H109" s="23">
        <v>160</v>
      </c>
      <c r="I109" s="23">
        <v>364</v>
      </c>
    </row>
    <row r="110" spans="1:9" ht="30">
      <c r="A110" s="6">
        <v>101</v>
      </c>
      <c r="B110" s="18" t="s">
        <v>313</v>
      </c>
      <c r="C110" s="19" t="s">
        <v>314</v>
      </c>
      <c r="D110" s="23">
        <v>473.72</v>
      </c>
      <c r="E110" s="23">
        <v>135</v>
      </c>
      <c r="F110" s="23">
        <v>24</v>
      </c>
      <c r="G110" s="23">
        <f t="shared" si="3"/>
        <v>632.72</v>
      </c>
      <c r="H110" s="23">
        <v>98</v>
      </c>
      <c r="I110" s="23">
        <v>488</v>
      </c>
    </row>
    <row r="111" spans="1:9" ht="15">
      <c r="A111" s="6">
        <v>102</v>
      </c>
      <c r="B111" s="16" t="s">
        <v>272</v>
      </c>
      <c r="C111" s="13" t="s">
        <v>271</v>
      </c>
      <c r="D111" s="23">
        <v>541</v>
      </c>
      <c r="E111" s="23">
        <v>94.64</v>
      </c>
      <c r="F111" s="23">
        <v>2</v>
      </c>
      <c r="G111" s="23">
        <f t="shared" si="3"/>
        <v>637.64</v>
      </c>
      <c r="H111" s="23">
        <v>151</v>
      </c>
      <c r="I111" s="23"/>
    </row>
    <row r="112" spans="1:9" ht="15.75">
      <c r="A112" s="46"/>
      <c r="B112" s="47"/>
      <c r="C112" s="48" t="s">
        <v>142</v>
      </c>
      <c r="D112" s="49">
        <f aca="true" t="shared" si="4" ref="D112:I112">SUM(D9:D111)</f>
        <v>108768.81000000001</v>
      </c>
      <c r="E112" s="49">
        <f t="shared" si="4"/>
        <v>20836.90999999999</v>
      </c>
      <c r="F112" s="49">
        <f t="shared" si="4"/>
        <v>2706</v>
      </c>
      <c r="G112" s="49">
        <f t="shared" si="4"/>
        <v>132311.72000000003</v>
      </c>
      <c r="H112" s="49">
        <f t="shared" si="4"/>
        <v>20600</v>
      </c>
      <c r="I112" s="49">
        <f t="shared" si="4"/>
        <v>113808</v>
      </c>
    </row>
  </sheetData>
  <sheetProtection/>
  <mergeCells count="4">
    <mergeCell ref="A7:A8"/>
    <mergeCell ref="B7:B8"/>
    <mergeCell ref="C7:C8"/>
    <mergeCell ref="D7:G7"/>
  </mergeCells>
  <printOptions horizontalCentered="1"/>
  <pageMargins left="0" right="0" top="0.196850393700787" bottom="0.590551181102362" header="0.118110236220472" footer="0.118110236220472"/>
  <pageSetup fitToHeight="3" fitToWidth="1" horizontalDpi="300" verticalDpi="300" orientation="landscape" paperSize="9" scale="53" r:id="rId1"/>
  <headerFooter alignWithMargins="0">
    <oddHeader>&amp;RPresedinte-Director General
Lucian Vasile BARA</oddHeader>
    <oddFooter>&amp;CDirector DRC,
Ovidiu MUNTEANU&amp;R
Sef Serviciu Decontare
Ec.Adriana COSOREANU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PageLayoutView="0" workbookViewId="0" topLeftCell="A13">
      <selection activeCell="K25" sqref="K25"/>
    </sheetView>
  </sheetViews>
  <sheetFormatPr defaultColWidth="9.140625" defaultRowHeight="15"/>
  <cols>
    <col min="1" max="1" width="9.140625" style="60" customWidth="1"/>
    <col min="2" max="2" width="13.00390625" style="65" customWidth="1"/>
    <col min="3" max="3" width="34.421875" style="66" customWidth="1"/>
    <col min="4" max="4" width="15.8515625" style="60" customWidth="1"/>
    <col min="5" max="5" width="17.28125" style="60" customWidth="1"/>
    <col min="6" max="6" width="14.7109375" style="60" customWidth="1"/>
    <col min="7" max="7" width="12.28125" style="60" bestFit="1" customWidth="1"/>
    <col min="8" max="8" width="20.8515625" style="60" customWidth="1"/>
    <col min="9" max="16384" width="9.140625" style="60" customWidth="1"/>
  </cols>
  <sheetData>
    <row r="2" spans="2:3" s="55" customFormat="1" ht="15">
      <c r="B2" s="56"/>
      <c r="C2" s="57"/>
    </row>
    <row r="3" spans="2:3" s="55" customFormat="1" ht="15">
      <c r="B3" s="56"/>
      <c r="C3" s="57"/>
    </row>
    <row r="4" spans="2:3" s="55" customFormat="1" ht="15">
      <c r="B4" s="56"/>
      <c r="C4" s="57"/>
    </row>
    <row r="5" spans="2:3" s="55" customFormat="1" ht="15.75">
      <c r="B5" s="58"/>
      <c r="C5" s="59" t="s">
        <v>150</v>
      </c>
    </row>
    <row r="6" spans="2:3" s="55" customFormat="1" ht="15.75">
      <c r="B6" s="56"/>
      <c r="C6" s="59" t="s">
        <v>165</v>
      </c>
    </row>
    <row r="7" spans="2:3" s="55" customFormat="1" ht="38.25" customHeight="1">
      <c r="B7" s="56"/>
      <c r="C7" s="57"/>
    </row>
    <row r="8" spans="1:8" s="4" customFormat="1" ht="76.5" customHeight="1">
      <c r="A8" s="88" t="s">
        <v>1</v>
      </c>
      <c r="B8" s="93" t="s">
        <v>2</v>
      </c>
      <c r="C8" s="89" t="s">
        <v>158</v>
      </c>
      <c r="D8" s="95" t="s">
        <v>167</v>
      </c>
      <c r="E8" s="95"/>
      <c r="F8" s="95"/>
      <c r="G8" s="95"/>
      <c r="H8" s="5"/>
    </row>
    <row r="9" spans="1:8" s="7" customFormat="1" ht="89.25">
      <c r="A9" s="88"/>
      <c r="B9" s="94"/>
      <c r="C9" s="89"/>
      <c r="D9" s="24" t="s">
        <v>159</v>
      </c>
      <c r="E9" s="24" t="s">
        <v>160</v>
      </c>
      <c r="F9" s="5" t="s">
        <v>161</v>
      </c>
      <c r="G9" s="5" t="s">
        <v>142</v>
      </c>
      <c r="H9" s="5" t="s">
        <v>169</v>
      </c>
    </row>
    <row r="10" spans="1:8" ht="15">
      <c r="A10" s="6">
        <v>1</v>
      </c>
      <c r="B10" s="13" t="s">
        <v>275</v>
      </c>
      <c r="C10" s="13" t="s">
        <v>276</v>
      </c>
      <c r="D10" s="23">
        <f>58+6</f>
        <v>64</v>
      </c>
      <c r="E10" s="23">
        <f>35+30</f>
        <v>65</v>
      </c>
      <c r="F10" s="23">
        <v>0</v>
      </c>
      <c r="G10" s="23">
        <f aca="true" t="shared" si="0" ref="G10:G42">F10+E10+D10</f>
        <v>129</v>
      </c>
      <c r="H10" s="23">
        <f>12+12</f>
        <v>24</v>
      </c>
    </row>
    <row r="11" spans="1:8" ht="15">
      <c r="A11" s="6">
        <v>2</v>
      </c>
      <c r="B11" s="13" t="s">
        <v>14</v>
      </c>
      <c r="C11" s="13" t="s">
        <v>15</v>
      </c>
      <c r="D11" s="23">
        <v>44</v>
      </c>
      <c r="E11" s="23">
        <v>60</v>
      </c>
      <c r="F11" s="23">
        <v>0</v>
      </c>
      <c r="G11" s="23">
        <f t="shared" si="0"/>
        <v>104</v>
      </c>
      <c r="H11" s="23"/>
    </row>
    <row r="12" spans="1:8" ht="15">
      <c r="A12" s="6">
        <v>3</v>
      </c>
      <c r="B12" s="13" t="s">
        <v>206</v>
      </c>
      <c r="C12" s="13" t="s">
        <v>205</v>
      </c>
      <c r="D12" s="23">
        <v>4.8</v>
      </c>
      <c r="E12" s="23">
        <v>40</v>
      </c>
      <c r="F12" s="23"/>
      <c r="G12" s="23">
        <f t="shared" si="0"/>
        <v>44.8</v>
      </c>
      <c r="H12" s="6"/>
    </row>
    <row r="13" spans="1:8" ht="30">
      <c r="A13" s="6">
        <v>4</v>
      </c>
      <c r="B13" s="13" t="s">
        <v>16</v>
      </c>
      <c r="C13" s="13" t="s">
        <v>17</v>
      </c>
      <c r="D13" s="23">
        <v>2.4</v>
      </c>
      <c r="E13" s="23">
        <v>21.67</v>
      </c>
      <c r="F13" s="23"/>
      <c r="G13" s="23">
        <f t="shared" si="0"/>
        <v>24.07</v>
      </c>
      <c r="H13" s="23"/>
    </row>
    <row r="14" spans="1:8" ht="15">
      <c r="A14" s="6">
        <v>5</v>
      </c>
      <c r="B14" s="43" t="s">
        <v>315</v>
      </c>
      <c r="C14" s="36" t="s">
        <v>316</v>
      </c>
      <c r="D14" s="23">
        <v>173</v>
      </c>
      <c r="E14" s="23">
        <v>338</v>
      </c>
      <c r="F14" s="23">
        <v>15</v>
      </c>
      <c r="G14" s="23">
        <f t="shared" si="0"/>
        <v>526</v>
      </c>
      <c r="H14" s="23">
        <v>36</v>
      </c>
    </row>
    <row r="15" spans="1:8" ht="15">
      <c r="A15" s="6">
        <v>6</v>
      </c>
      <c r="B15" s="13" t="s">
        <v>22</v>
      </c>
      <c r="C15" s="13" t="s">
        <v>23</v>
      </c>
      <c r="D15" s="23">
        <v>6</v>
      </c>
      <c r="E15" s="23">
        <v>13.33</v>
      </c>
      <c r="F15" s="23">
        <v>0</v>
      </c>
      <c r="G15" s="23">
        <f t="shared" si="0"/>
        <v>19.33</v>
      </c>
      <c r="H15" s="23"/>
    </row>
    <row r="16" spans="1:8" ht="30">
      <c r="A16" s="6">
        <v>7</v>
      </c>
      <c r="B16" s="13" t="s">
        <v>24</v>
      </c>
      <c r="C16" s="13" t="s">
        <v>25</v>
      </c>
      <c r="D16" s="23">
        <v>12</v>
      </c>
      <c r="E16" s="23">
        <v>40</v>
      </c>
      <c r="F16" s="23">
        <v>0</v>
      </c>
      <c r="G16" s="23">
        <f t="shared" si="0"/>
        <v>52</v>
      </c>
      <c r="H16" s="23"/>
    </row>
    <row r="17" spans="1:8" ht="15">
      <c r="A17" s="6">
        <v>8</v>
      </c>
      <c r="B17" s="13" t="s">
        <v>26</v>
      </c>
      <c r="C17" s="13" t="s">
        <v>27</v>
      </c>
      <c r="D17" s="23">
        <v>118.6</v>
      </c>
      <c r="E17" s="23">
        <v>84.5</v>
      </c>
      <c r="F17" s="23">
        <v>12</v>
      </c>
      <c r="G17" s="23">
        <f t="shared" si="0"/>
        <v>215.1</v>
      </c>
      <c r="H17" s="23">
        <v>24</v>
      </c>
    </row>
    <row r="18" spans="1:8" ht="15">
      <c r="A18" s="6">
        <v>9</v>
      </c>
      <c r="B18" s="13" t="s">
        <v>30</v>
      </c>
      <c r="C18" s="13" t="s">
        <v>31</v>
      </c>
      <c r="D18" s="23">
        <v>93</v>
      </c>
      <c r="E18" s="23">
        <v>131.5</v>
      </c>
      <c r="F18" s="23">
        <v>24</v>
      </c>
      <c r="G18" s="23">
        <f t="shared" si="0"/>
        <v>248.5</v>
      </c>
      <c r="H18" s="23">
        <v>96</v>
      </c>
    </row>
    <row r="19" spans="1:8" ht="15">
      <c r="A19" s="6">
        <v>10</v>
      </c>
      <c r="B19" s="13" t="s">
        <v>208</v>
      </c>
      <c r="C19" s="13" t="s">
        <v>207</v>
      </c>
      <c r="D19" s="23">
        <v>92</v>
      </c>
      <c r="E19" s="23">
        <v>78</v>
      </c>
      <c r="F19" s="23"/>
      <c r="G19" s="23">
        <f t="shared" si="0"/>
        <v>170</v>
      </c>
      <c r="H19" s="6"/>
    </row>
    <row r="20" spans="1:8" ht="30">
      <c r="A20" s="6">
        <v>11</v>
      </c>
      <c r="B20" s="13" t="s">
        <v>36</v>
      </c>
      <c r="C20" s="13" t="s">
        <v>37</v>
      </c>
      <c r="D20" s="23">
        <v>24.8</v>
      </c>
      <c r="E20" s="23">
        <v>56</v>
      </c>
      <c r="F20" s="23">
        <v>0</v>
      </c>
      <c r="G20" s="23">
        <f t="shared" si="0"/>
        <v>80.8</v>
      </c>
      <c r="H20" s="23"/>
    </row>
    <row r="21" spans="1:8" ht="15">
      <c r="A21" s="6">
        <v>12</v>
      </c>
      <c r="B21" s="13" t="s">
        <v>210</v>
      </c>
      <c r="C21" s="13" t="s">
        <v>211</v>
      </c>
      <c r="D21" s="23">
        <v>8.6</v>
      </c>
      <c r="E21" s="23">
        <v>69.5</v>
      </c>
      <c r="F21" s="23"/>
      <c r="G21" s="23">
        <f t="shared" si="0"/>
        <v>78.1</v>
      </c>
      <c r="H21" s="6"/>
    </row>
    <row r="22" spans="1:8" ht="15">
      <c r="A22" s="6">
        <v>13</v>
      </c>
      <c r="B22" s="13" t="s">
        <v>279</v>
      </c>
      <c r="C22" s="13" t="s">
        <v>280</v>
      </c>
      <c r="D22" s="23">
        <v>2.4</v>
      </c>
      <c r="E22" s="23">
        <v>43</v>
      </c>
      <c r="F22" s="23">
        <v>0</v>
      </c>
      <c r="G22" s="23">
        <f t="shared" si="0"/>
        <v>45.4</v>
      </c>
      <c r="H22" s="23">
        <v>15</v>
      </c>
    </row>
    <row r="23" spans="1:8" ht="30">
      <c r="A23" s="6">
        <v>14</v>
      </c>
      <c r="B23" s="13" t="s">
        <v>283</v>
      </c>
      <c r="C23" s="13" t="s">
        <v>284</v>
      </c>
      <c r="D23" s="38">
        <f>27+2.4</f>
        <v>29.4</v>
      </c>
      <c r="E23" s="38">
        <f>49.91+15</f>
        <v>64.91</v>
      </c>
      <c r="F23" s="23">
        <v>0</v>
      </c>
      <c r="G23" s="23">
        <f t="shared" si="0"/>
        <v>94.31</v>
      </c>
      <c r="H23" s="23">
        <f>16.5+15</f>
        <v>31.5</v>
      </c>
    </row>
    <row r="24" spans="1:8" ht="15">
      <c r="A24" s="6">
        <v>15</v>
      </c>
      <c r="B24" s="21" t="s">
        <v>42</v>
      </c>
      <c r="C24" s="21" t="s">
        <v>43</v>
      </c>
      <c r="D24" s="23">
        <v>224</v>
      </c>
      <c r="E24" s="23">
        <v>304</v>
      </c>
      <c r="F24" s="23">
        <v>5</v>
      </c>
      <c r="G24" s="23">
        <f t="shared" si="0"/>
        <v>533</v>
      </c>
      <c r="H24" s="23"/>
    </row>
    <row r="25" spans="1:8" ht="15">
      <c r="A25" s="6">
        <v>16</v>
      </c>
      <c r="B25" s="13" t="s">
        <v>215</v>
      </c>
      <c r="C25" s="13" t="s">
        <v>216</v>
      </c>
      <c r="D25" s="23">
        <v>3.2</v>
      </c>
      <c r="E25" s="23">
        <v>22.5</v>
      </c>
      <c r="F25" s="23"/>
      <c r="G25" s="23">
        <f t="shared" si="0"/>
        <v>25.7</v>
      </c>
      <c r="H25" s="86">
        <v>12</v>
      </c>
    </row>
    <row r="26" spans="1:8" ht="15">
      <c r="A26" s="6">
        <v>17</v>
      </c>
      <c r="B26" s="21" t="s">
        <v>220</v>
      </c>
      <c r="C26" s="21" t="s">
        <v>219</v>
      </c>
      <c r="D26" s="23">
        <v>4</v>
      </c>
      <c r="E26" s="23">
        <v>20</v>
      </c>
      <c r="F26" s="23"/>
      <c r="G26" s="23">
        <f t="shared" si="0"/>
        <v>24</v>
      </c>
      <c r="H26" s="6"/>
    </row>
    <row r="27" spans="1:8" ht="30">
      <c r="A27" s="6">
        <v>18</v>
      </c>
      <c r="B27" s="28" t="s">
        <v>46</v>
      </c>
      <c r="C27" s="28" t="s">
        <v>47</v>
      </c>
      <c r="D27" s="26">
        <v>36</v>
      </c>
      <c r="E27" s="26">
        <v>80</v>
      </c>
      <c r="F27" s="26">
        <v>0</v>
      </c>
      <c r="G27" s="26">
        <f t="shared" si="0"/>
        <v>116</v>
      </c>
      <c r="H27" s="26">
        <v>24</v>
      </c>
    </row>
    <row r="28" spans="1:8" ht="15">
      <c r="A28" s="6">
        <v>19</v>
      </c>
      <c r="B28" s="13" t="s">
        <v>48</v>
      </c>
      <c r="C28" s="13" t="s">
        <v>49</v>
      </c>
      <c r="D28" s="23">
        <v>7.6</v>
      </c>
      <c r="E28" s="23">
        <v>32.5</v>
      </c>
      <c r="F28" s="23"/>
      <c r="G28" s="23">
        <f t="shared" si="0"/>
        <v>40.1</v>
      </c>
      <c r="H28" s="23">
        <v>24</v>
      </c>
    </row>
    <row r="29" spans="1:8" ht="30">
      <c r="A29" s="6">
        <v>20</v>
      </c>
      <c r="B29" s="13" t="s">
        <v>222</v>
      </c>
      <c r="C29" s="13" t="s">
        <v>221</v>
      </c>
      <c r="D29" s="23">
        <v>107</v>
      </c>
      <c r="E29" s="23">
        <v>96</v>
      </c>
      <c r="F29" s="23"/>
      <c r="G29" s="23">
        <f t="shared" si="0"/>
        <v>203</v>
      </c>
      <c r="H29" s="6"/>
    </row>
    <row r="30" spans="1:8" ht="30">
      <c r="A30" s="6">
        <v>21</v>
      </c>
      <c r="B30" s="13" t="s">
        <v>50</v>
      </c>
      <c r="C30" s="13" t="s">
        <v>51</v>
      </c>
      <c r="D30" s="23">
        <v>3.2</v>
      </c>
      <c r="E30" s="23">
        <v>5</v>
      </c>
      <c r="F30" s="23"/>
      <c r="G30" s="23">
        <f t="shared" si="0"/>
        <v>8.2</v>
      </c>
      <c r="H30" s="23"/>
    </row>
    <row r="31" spans="1:8" ht="15">
      <c r="A31" s="6">
        <v>22</v>
      </c>
      <c r="B31" s="13" t="s">
        <v>224</v>
      </c>
      <c r="C31" s="13" t="s">
        <v>225</v>
      </c>
      <c r="D31" s="23">
        <v>8</v>
      </c>
      <c r="E31" s="23">
        <v>20</v>
      </c>
      <c r="F31" s="23"/>
      <c r="G31" s="23">
        <f t="shared" si="0"/>
        <v>28</v>
      </c>
      <c r="H31" s="6"/>
    </row>
    <row r="32" spans="1:8" ht="15">
      <c r="A32" s="6">
        <v>23</v>
      </c>
      <c r="B32" s="13" t="s">
        <v>295</v>
      </c>
      <c r="C32" s="13" t="s">
        <v>296</v>
      </c>
      <c r="D32" s="23">
        <v>34</v>
      </c>
      <c r="E32" s="23">
        <v>78</v>
      </c>
      <c r="F32" s="23">
        <v>0</v>
      </c>
      <c r="G32" s="23">
        <f t="shared" si="0"/>
        <v>112</v>
      </c>
      <c r="H32" s="23">
        <v>33</v>
      </c>
    </row>
    <row r="33" spans="1:8" ht="15">
      <c r="A33" s="6">
        <v>24</v>
      </c>
      <c r="B33" s="16" t="s">
        <v>62</v>
      </c>
      <c r="C33" s="13" t="s">
        <v>63</v>
      </c>
      <c r="D33" s="23">
        <v>4</v>
      </c>
      <c r="E33" s="23">
        <v>20</v>
      </c>
      <c r="F33" s="23"/>
      <c r="G33" s="23">
        <f t="shared" si="0"/>
        <v>24</v>
      </c>
      <c r="H33" s="23"/>
    </row>
    <row r="34" spans="1:8" ht="15">
      <c r="A34" s="61">
        <v>25</v>
      </c>
      <c r="B34" s="39" t="s">
        <v>64</v>
      </c>
      <c r="C34" s="34" t="s">
        <v>65</v>
      </c>
      <c r="D34" s="35">
        <v>70</v>
      </c>
      <c r="E34" s="35">
        <v>110.33</v>
      </c>
      <c r="F34" s="35">
        <v>0</v>
      </c>
      <c r="G34" s="35">
        <f t="shared" si="0"/>
        <v>180.32999999999998</v>
      </c>
      <c r="H34" s="35">
        <v>24</v>
      </c>
    </row>
    <row r="35" spans="1:8" s="55" customFormat="1" ht="30">
      <c r="A35" s="6">
        <v>26</v>
      </c>
      <c r="B35" s="16" t="s">
        <v>66</v>
      </c>
      <c r="C35" s="13" t="s">
        <v>67</v>
      </c>
      <c r="D35" s="23">
        <v>12.4</v>
      </c>
      <c r="E35" s="23">
        <v>40</v>
      </c>
      <c r="F35" s="23">
        <v>0</v>
      </c>
      <c r="G35" s="23">
        <f t="shared" si="0"/>
        <v>52.4</v>
      </c>
      <c r="H35" s="23"/>
    </row>
    <row r="36" spans="1:8" ht="30">
      <c r="A36" s="62">
        <v>27</v>
      </c>
      <c r="B36" s="44" t="s">
        <v>231</v>
      </c>
      <c r="C36" s="44" t="s">
        <v>232</v>
      </c>
      <c r="D36" s="45">
        <v>4</v>
      </c>
      <c r="E36" s="45">
        <v>18</v>
      </c>
      <c r="F36" s="45"/>
      <c r="G36" s="45">
        <f t="shared" si="0"/>
        <v>22</v>
      </c>
      <c r="H36" s="62"/>
    </row>
    <row r="37" spans="1:8" ht="30">
      <c r="A37" s="6">
        <v>28</v>
      </c>
      <c r="B37" s="16" t="s">
        <v>75</v>
      </c>
      <c r="C37" s="13" t="s">
        <v>76</v>
      </c>
      <c r="D37" s="23">
        <v>20</v>
      </c>
      <c r="E37" s="23">
        <v>61.67</v>
      </c>
      <c r="F37" s="23">
        <v>0</v>
      </c>
      <c r="G37" s="23">
        <f t="shared" si="0"/>
        <v>81.67</v>
      </c>
      <c r="H37" s="23"/>
    </row>
    <row r="38" spans="1:8" ht="30">
      <c r="A38" s="6">
        <v>29</v>
      </c>
      <c r="B38" s="13" t="s">
        <v>81</v>
      </c>
      <c r="C38" s="13" t="s">
        <v>82</v>
      </c>
      <c r="D38" s="23">
        <v>8.4</v>
      </c>
      <c r="E38" s="23">
        <v>10</v>
      </c>
      <c r="F38" s="23">
        <v>0</v>
      </c>
      <c r="G38" s="23">
        <f t="shared" si="0"/>
        <v>18.4</v>
      </c>
      <c r="H38" s="23"/>
    </row>
    <row r="39" spans="1:8" ht="15">
      <c r="A39" s="6">
        <v>30</v>
      </c>
      <c r="B39" s="13" t="s">
        <v>240</v>
      </c>
      <c r="C39" s="13" t="s">
        <v>239</v>
      </c>
      <c r="D39" s="33">
        <v>9.2</v>
      </c>
      <c r="E39" s="23">
        <v>22.5</v>
      </c>
      <c r="F39" s="23"/>
      <c r="G39" s="23">
        <f t="shared" si="0"/>
        <v>31.7</v>
      </c>
      <c r="H39" s="6"/>
    </row>
    <row r="40" spans="1:8" ht="30">
      <c r="A40" s="6">
        <v>31</v>
      </c>
      <c r="B40" s="16" t="s">
        <v>83</v>
      </c>
      <c r="C40" s="13" t="s">
        <v>84</v>
      </c>
      <c r="D40" s="23">
        <v>3.2</v>
      </c>
      <c r="E40" s="23">
        <v>40</v>
      </c>
      <c r="F40" s="23">
        <v>0</v>
      </c>
      <c r="G40" s="23">
        <f t="shared" si="0"/>
        <v>43.2</v>
      </c>
      <c r="H40" s="23"/>
    </row>
    <row r="41" spans="1:8" ht="15">
      <c r="A41" s="6">
        <v>32</v>
      </c>
      <c r="B41" s="16" t="s">
        <v>85</v>
      </c>
      <c r="C41" s="13" t="s">
        <v>86</v>
      </c>
      <c r="D41" s="23">
        <v>6.4</v>
      </c>
      <c r="E41" s="23">
        <v>20</v>
      </c>
      <c r="F41" s="23">
        <v>0</v>
      </c>
      <c r="G41" s="23">
        <f t="shared" si="0"/>
        <v>26.4</v>
      </c>
      <c r="H41" s="23"/>
    </row>
    <row r="42" spans="1:8" ht="15">
      <c r="A42" s="6">
        <v>33</v>
      </c>
      <c r="B42" s="20" t="s">
        <v>87</v>
      </c>
      <c r="C42" s="21" t="s">
        <v>88</v>
      </c>
      <c r="D42" s="23">
        <v>8.6</v>
      </c>
      <c r="E42" s="23">
        <v>51.33</v>
      </c>
      <c r="F42" s="23">
        <v>5</v>
      </c>
      <c r="G42" s="23">
        <f t="shared" si="0"/>
        <v>64.92999999999999</v>
      </c>
      <c r="H42" s="23"/>
    </row>
    <row r="43" spans="1:8" ht="30">
      <c r="A43" s="6">
        <v>34</v>
      </c>
      <c r="B43" s="16" t="s">
        <v>97</v>
      </c>
      <c r="C43" s="13" t="s">
        <v>98</v>
      </c>
      <c r="D43" s="6">
        <v>12</v>
      </c>
      <c r="E43" s="6">
        <v>20</v>
      </c>
      <c r="F43" s="23">
        <v>0</v>
      </c>
      <c r="G43" s="23">
        <f>F43+'[1]lab-punctaje'!E58+'[1]lab-punctaje'!D58</f>
        <v>0</v>
      </c>
      <c r="H43" s="23"/>
    </row>
    <row r="44" spans="1:8" ht="15">
      <c r="A44" s="6">
        <v>35</v>
      </c>
      <c r="B44" s="13" t="s">
        <v>245</v>
      </c>
      <c r="C44" s="13" t="s">
        <v>246</v>
      </c>
      <c r="D44" s="23">
        <v>12</v>
      </c>
      <c r="E44" s="23">
        <v>90</v>
      </c>
      <c r="F44" s="23"/>
      <c r="G44" s="23">
        <f>F44+E44+D44</f>
        <v>102</v>
      </c>
      <c r="H44" s="6"/>
    </row>
    <row r="45" spans="1:8" ht="15">
      <c r="A45" s="6">
        <v>36</v>
      </c>
      <c r="B45" s="20" t="s">
        <v>105</v>
      </c>
      <c r="C45" s="21" t="s">
        <v>106</v>
      </c>
      <c r="D45" s="23">
        <v>84</v>
      </c>
      <c r="E45" s="23">
        <v>254</v>
      </c>
      <c r="F45" s="23">
        <v>20</v>
      </c>
      <c r="G45" s="23">
        <f>F45+E45+D45</f>
        <v>358</v>
      </c>
      <c r="H45" s="23"/>
    </row>
    <row r="46" spans="1:8" ht="15">
      <c r="A46" s="6">
        <v>37</v>
      </c>
      <c r="B46" s="16" t="s">
        <v>115</v>
      </c>
      <c r="C46" s="13" t="s">
        <v>166</v>
      </c>
      <c r="D46" s="23">
        <v>4</v>
      </c>
      <c r="E46" s="23">
        <v>30</v>
      </c>
      <c r="F46" s="23">
        <v>0</v>
      </c>
      <c r="G46" s="23">
        <f>F46+E46+D46</f>
        <v>34</v>
      </c>
      <c r="H46" s="23"/>
    </row>
    <row r="47" spans="1:8" ht="15">
      <c r="A47" s="6">
        <v>38</v>
      </c>
      <c r="B47" s="13" t="s">
        <v>252</v>
      </c>
      <c r="C47" s="13" t="s">
        <v>251</v>
      </c>
      <c r="D47" s="23">
        <v>140</v>
      </c>
      <c r="E47" s="23">
        <v>277</v>
      </c>
      <c r="F47" s="23">
        <v>24</v>
      </c>
      <c r="G47" s="23">
        <f>F47+E47+D47</f>
        <v>441</v>
      </c>
      <c r="H47" s="23">
        <v>72</v>
      </c>
    </row>
    <row r="48" spans="1:8" ht="15">
      <c r="A48" s="6">
        <v>39</v>
      </c>
      <c r="B48" s="13" t="s">
        <v>256</v>
      </c>
      <c r="C48" s="13" t="s">
        <v>346</v>
      </c>
      <c r="D48" s="23">
        <v>0</v>
      </c>
      <c r="E48" s="23">
        <v>54</v>
      </c>
      <c r="F48" s="23"/>
      <c r="G48" s="23">
        <v>54</v>
      </c>
      <c r="H48" s="23"/>
    </row>
    <row r="49" spans="1:8" ht="30">
      <c r="A49" s="6">
        <v>40</v>
      </c>
      <c r="B49" s="20" t="s">
        <v>130</v>
      </c>
      <c r="C49" s="21" t="s">
        <v>131</v>
      </c>
      <c r="D49" s="23">
        <v>60</v>
      </c>
      <c r="E49" s="23">
        <v>141.33</v>
      </c>
      <c r="F49" s="23">
        <v>15</v>
      </c>
      <c r="G49" s="23">
        <f>F49+E49+D49</f>
        <v>216.33</v>
      </c>
      <c r="H49" s="23"/>
    </row>
    <row r="50" spans="1:8" ht="15">
      <c r="A50" s="6">
        <v>41</v>
      </c>
      <c r="B50" s="13" t="s">
        <v>259</v>
      </c>
      <c r="C50" s="13" t="s">
        <v>266</v>
      </c>
      <c r="D50" s="23">
        <v>7.2</v>
      </c>
      <c r="E50" s="23">
        <v>258.5</v>
      </c>
      <c r="F50" s="23">
        <v>5</v>
      </c>
      <c r="G50" s="23">
        <f>F50+E50+D50</f>
        <v>270.7</v>
      </c>
      <c r="H50" s="6"/>
    </row>
    <row r="51" spans="1:8" ht="30">
      <c r="A51" s="6">
        <v>42</v>
      </c>
      <c r="B51" s="13" t="s">
        <v>260</v>
      </c>
      <c r="C51" s="13" t="s">
        <v>268</v>
      </c>
      <c r="D51" s="23">
        <v>1.8</v>
      </c>
      <c r="E51" s="23">
        <v>225.43</v>
      </c>
      <c r="F51" s="23">
        <v>5</v>
      </c>
      <c r="G51" s="23">
        <f>F51+E51+D51</f>
        <v>232.23000000000002</v>
      </c>
      <c r="H51" s="6"/>
    </row>
    <row r="52" spans="1:8" ht="30">
      <c r="A52" s="6">
        <v>43</v>
      </c>
      <c r="B52" s="20" t="s">
        <v>313</v>
      </c>
      <c r="C52" s="21" t="s">
        <v>314</v>
      </c>
      <c r="D52" s="23">
        <v>19</v>
      </c>
      <c r="E52" s="23">
        <v>40</v>
      </c>
      <c r="F52" s="23">
        <v>0</v>
      </c>
      <c r="G52" s="23">
        <f>F52+E52+D52</f>
        <v>59</v>
      </c>
      <c r="H52" s="23">
        <v>12</v>
      </c>
    </row>
    <row r="53" spans="1:8" ht="15.75">
      <c r="A53" s="63"/>
      <c r="B53" s="64"/>
      <c r="C53" s="64" t="s">
        <v>142</v>
      </c>
      <c r="D53" s="54">
        <f>SUM(D10:D52)</f>
        <v>1588.2000000000003</v>
      </c>
      <c r="E53" s="54">
        <f>SUM(E10:E52)</f>
        <v>3547.4999999999995</v>
      </c>
      <c r="F53" s="54">
        <f>SUM(F10:F52)</f>
        <v>130</v>
      </c>
      <c r="G53" s="54">
        <f>SUM(G10:G52)</f>
        <v>5233.699999999999</v>
      </c>
      <c r="H53" s="54">
        <f>SUM(H10:H52)</f>
        <v>427.5</v>
      </c>
    </row>
  </sheetData>
  <sheetProtection/>
  <mergeCells count="4">
    <mergeCell ref="A8:A9"/>
    <mergeCell ref="B8:B9"/>
    <mergeCell ref="C8:C9"/>
    <mergeCell ref="D8:G8"/>
  </mergeCells>
  <printOptions horizontalCentered="1"/>
  <pageMargins left="0" right="0" top="0.196850393700787" bottom="0.590551181102362" header="0.118110236220472" footer="0.118110236220472"/>
  <pageSetup fitToHeight="3" fitToWidth="1" horizontalDpi="300" verticalDpi="300" orientation="portrait" paperSize="9" r:id="rId1"/>
  <headerFooter alignWithMargins="0">
    <oddHeader>&amp;RPresedinte-Director General
Lucian Vasile BARA</oddHeader>
    <oddFooter>&amp;CDirector DRC,
Ovidiu MUNTEANU&amp;R
Sef Serviciu Decontare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72"/>
  <sheetViews>
    <sheetView tabSelected="1" zoomScalePageLayoutView="0" workbookViewId="0" topLeftCell="A1">
      <pane ySplit="7" topLeftCell="A38" activePane="bottomLeft" state="frozen"/>
      <selection pane="topLeft" activeCell="G76" sqref="G76"/>
      <selection pane="bottomLeft" activeCell="I49" sqref="I49"/>
    </sheetView>
  </sheetViews>
  <sheetFormatPr defaultColWidth="9.140625" defaultRowHeight="15"/>
  <cols>
    <col min="1" max="1" width="9.28125" style="70" bestFit="1" customWidth="1"/>
    <col min="2" max="2" width="11.7109375" style="71" customWidth="1"/>
    <col min="3" max="3" width="36.28125" style="72" customWidth="1"/>
    <col min="4" max="4" width="14.00390625" style="70" customWidth="1"/>
    <col min="5" max="5" width="15.28125" style="70" customWidth="1"/>
    <col min="6" max="6" width="12.7109375" style="70" customWidth="1"/>
    <col min="7" max="8" width="13.140625" style="70" customWidth="1"/>
    <col min="9" max="9" width="13.28125" style="41" customWidth="1"/>
    <col min="10" max="10" width="12.28125" style="41" customWidth="1"/>
    <col min="11" max="11" width="11.57421875" style="41" customWidth="1"/>
    <col min="12" max="12" width="12.8515625" style="41" customWidth="1"/>
    <col min="13" max="13" width="17.28125" style="41" customWidth="1"/>
    <col min="14" max="14" width="13.57421875" style="41" customWidth="1"/>
    <col min="15" max="15" width="12.57421875" style="41" customWidth="1"/>
    <col min="16" max="16" width="13.00390625" style="41" customWidth="1"/>
    <col min="17" max="17" width="12.8515625" style="41" customWidth="1"/>
    <col min="18" max="18" width="17.140625" style="70" customWidth="1"/>
    <col min="19" max="19" width="29.28125" style="70" customWidth="1"/>
    <col min="20" max="20" width="9.28125" style="70" bestFit="1" customWidth="1"/>
    <col min="21" max="16384" width="9.140625" style="70" customWidth="1"/>
  </cols>
  <sheetData>
    <row r="2" ht="15.75">
      <c r="C2" s="1"/>
    </row>
    <row r="3" spans="1:3" ht="15.75">
      <c r="A3" s="72"/>
      <c r="B3" s="73"/>
      <c r="C3" s="10" t="s">
        <v>4</v>
      </c>
    </row>
    <row r="4" spans="1:5" ht="15.75">
      <c r="A4" s="41"/>
      <c r="B4" s="73"/>
      <c r="C4" s="1" t="s">
        <v>150</v>
      </c>
      <c r="E4" s="74" t="s">
        <v>149</v>
      </c>
    </row>
    <row r="5" spans="2:17" s="41" customFormat="1" ht="15.75">
      <c r="B5" s="75"/>
      <c r="C5" s="76"/>
      <c r="E5" s="76"/>
      <c r="G5" s="41" t="s">
        <v>142</v>
      </c>
      <c r="L5" s="41" t="s">
        <v>151</v>
      </c>
      <c r="Q5" s="41" t="s">
        <v>152</v>
      </c>
    </row>
    <row r="6" spans="1:19" s="9" customFormat="1" ht="12.75" customHeight="1">
      <c r="A6" s="97" t="s">
        <v>5</v>
      </c>
      <c r="B6" s="98" t="s">
        <v>6</v>
      </c>
      <c r="C6" s="99" t="s">
        <v>143</v>
      </c>
      <c r="D6" s="96" t="s">
        <v>144</v>
      </c>
      <c r="E6" s="96"/>
      <c r="F6" s="96"/>
      <c r="G6" s="96"/>
      <c r="H6" s="96" t="s">
        <v>148</v>
      </c>
      <c r="I6" s="96" t="s">
        <v>144</v>
      </c>
      <c r="J6" s="96"/>
      <c r="K6" s="96"/>
      <c r="L6" s="96"/>
      <c r="M6" s="96" t="s">
        <v>148</v>
      </c>
      <c r="N6" s="96" t="s">
        <v>144</v>
      </c>
      <c r="O6" s="96"/>
      <c r="P6" s="96"/>
      <c r="Q6" s="96"/>
      <c r="R6" s="96" t="s">
        <v>148</v>
      </c>
      <c r="S6" s="11"/>
    </row>
    <row r="7" spans="1:19" s="9" customFormat="1" ht="38.25">
      <c r="A7" s="97"/>
      <c r="B7" s="98"/>
      <c r="C7" s="99"/>
      <c r="D7" s="12" t="s">
        <v>146</v>
      </c>
      <c r="E7" s="12" t="s">
        <v>145</v>
      </c>
      <c r="F7" s="12" t="s">
        <v>147</v>
      </c>
      <c r="G7" s="25" t="s">
        <v>142</v>
      </c>
      <c r="H7" s="96"/>
      <c r="I7" s="12" t="s">
        <v>146</v>
      </c>
      <c r="J7" s="12" t="s">
        <v>145</v>
      </c>
      <c r="K7" s="12" t="s">
        <v>147</v>
      </c>
      <c r="L7" s="25" t="s">
        <v>142</v>
      </c>
      <c r="M7" s="96"/>
      <c r="N7" s="12" t="s">
        <v>146</v>
      </c>
      <c r="O7" s="12" t="s">
        <v>145</v>
      </c>
      <c r="P7" s="12" t="s">
        <v>147</v>
      </c>
      <c r="Q7" s="25" t="s">
        <v>142</v>
      </c>
      <c r="R7" s="96"/>
      <c r="S7" s="12" t="s">
        <v>3</v>
      </c>
    </row>
    <row r="8" spans="1:21" ht="15">
      <c r="A8" s="15">
        <v>1</v>
      </c>
      <c r="B8" s="13" t="s">
        <v>273</v>
      </c>
      <c r="C8" s="13" t="s">
        <v>274</v>
      </c>
      <c r="D8" s="3">
        <v>65.5</v>
      </c>
      <c r="E8" s="3">
        <v>74</v>
      </c>
      <c r="F8" s="3">
        <v>12</v>
      </c>
      <c r="G8" s="3">
        <f>D8+E8+F8</f>
        <v>151.5</v>
      </c>
      <c r="H8" s="3">
        <v>30</v>
      </c>
      <c r="I8" s="3">
        <v>65.5</v>
      </c>
      <c r="J8" s="3">
        <v>74</v>
      </c>
      <c r="K8" s="3">
        <v>12</v>
      </c>
      <c r="L8" s="3">
        <f>I8+J8+K8</f>
        <v>151.5</v>
      </c>
      <c r="M8" s="3">
        <v>30</v>
      </c>
      <c r="N8" s="15"/>
      <c r="O8" s="15"/>
      <c r="P8" s="15"/>
      <c r="Q8" s="15"/>
      <c r="R8" s="15"/>
      <c r="S8" s="15"/>
      <c r="T8" s="79">
        <f>D8+E8+F8-I8-J8-K8-N8-O8-P8</f>
        <v>0</v>
      </c>
      <c r="U8" s="80">
        <f>H8-M8-R8</f>
        <v>0</v>
      </c>
    </row>
    <row r="9" spans="1:21" ht="45">
      <c r="A9" s="15">
        <v>2</v>
      </c>
      <c r="B9" s="13" t="s">
        <v>275</v>
      </c>
      <c r="C9" s="13" t="s">
        <v>276</v>
      </c>
      <c r="D9" s="3">
        <f>275.53+240.5+450+241.5+226</f>
        <v>1433.53</v>
      </c>
      <c r="E9" s="3">
        <f>86+102+48+38+64</f>
        <v>338</v>
      </c>
      <c r="F9" s="3">
        <f>17+12*4</f>
        <v>65</v>
      </c>
      <c r="G9" s="3">
        <f>D9+E9+F9</f>
        <v>1836.53</v>
      </c>
      <c r="H9" s="3">
        <f>30+30</f>
        <v>60</v>
      </c>
      <c r="I9" s="14">
        <f>D9-N9</f>
        <v>757.53</v>
      </c>
      <c r="J9" s="14">
        <f>E9-O9</f>
        <v>226</v>
      </c>
      <c r="K9" s="14">
        <f>F9-P9</f>
        <v>41</v>
      </c>
      <c r="L9" s="3">
        <f>I9+J9+K9</f>
        <v>1024.53</v>
      </c>
      <c r="M9" s="14">
        <f>H9-R9</f>
        <v>60</v>
      </c>
      <c r="N9" s="14">
        <f>450+226</f>
        <v>676</v>
      </c>
      <c r="O9" s="14">
        <f>48+64</f>
        <v>112</v>
      </c>
      <c r="P9" s="14">
        <f>12*2</f>
        <v>24</v>
      </c>
      <c r="Q9" s="15">
        <f>SUM(N9:P9)</f>
        <v>812</v>
      </c>
      <c r="R9" s="14">
        <v>0</v>
      </c>
      <c r="S9" s="32" t="s">
        <v>317</v>
      </c>
      <c r="T9" s="80">
        <f aca="true" t="shared" si="0" ref="T9:T71">D9+E9+F9-I9-J9-K9-N9-O9-P9</f>
        <v>0</v>
      </c>
      <c r="U9" s="80">
        <f aca="true" t="shared" si="1" ref="U9:U71">H9-M9-R9</f>
        <v>0</v>
      </c>
    </row>
    <row r="10" spans="1:21" s="81" customFormat="1" ht="30">
      <c r="A10" s="15">
        <v>3</v>
      </c>
      <c r="B10" s="13" t="s">
        <v>9</v>
      </c>
      <c r="C10" s="13" t="s">
        <v>10</v>
      </c>
      <c r="D10" s="3">
        <v>39.53</v>
      </c>
      <c r="E10" s="3">
        <v>48</v>
      </c>
      <c r="F10" s="3">
        <v>12</v>
      </c>
      <c r="G10" s="3">
        <f aca="true" t="shared" si="2" ref="G10:G71">D10+E10+F10</f>
        <v>99.53</v>
      </c>
      <c r="H10" s="3">
        <v>0</v>
      </c>
      <c r="I10" s="3">
        <v>39.53</v>
      </c>
      <c r="J10" s="3">
        <v>48</v>
      </c>
      <c r="K10" s="3">
        <v>12</v>
      </c>
      <c r="L10" s="3">
        <f aca="true" t="shared" si="3" ref="L10:L71">I10+J10+K10</f>
        <v>99.53</v>
      </c>
      <c r="M10" s="15">
        <v>0</v>
      </c>
      <c r="N10" s="15"/>
      <c r="O10" s="15"/>
      <c r="P10" s="15"/>
      <c r="Q10" s="2">
        <f aca="true" t="shared" si="4" ref="Q10:Q71">SUM(N10:P10)</f>
        <v>0</v>
      </c>
      <c r="R10" s="15"/>
      <c r="S10" s="15"/>
      <c r="T10" s="79">
        <f t="shared" si="0"/>
        <v>0</v>
      </c>
      <c r="U10" s="80">
        <f t="shared" si="1"/>
        <v>0</v>
      </c>
    </row>
    <row r="11" spans="1:21" s="82" customFormat="1" ht="15">
      <c r="A11" s="15">
        <v>4</v>
      </c>
      <c r="B11" s="13" t="s">
        <v>318</v>
      </c>
      <c r="C11" s="13" t="s">
        <v>319</v>
      </c>
      <c r="D11" s="3">
        <v>6</v>
      </c>
      <c r="E11" s="3">
        <v>48</v>
      </c>
      <c r="F11" s="3">
        <v>0</v>
      </c>
      <c r="G11" s="3">
        <f t="shared" si="2"/>
        <v>54</v>
      </c>
      <c r="H11" s="3">
        <v>0</v>
      </c>
      <c r="I11" s="3">
        <v>6</v>
      </c>
      <c r="J11" s="3">
        <v>48</v>
      </c>
      <c r="K11" s="3">
        <v>0</v>
      </c>
      <c r="L11" s="3">
        <f t="shared" si="3"/>
        <v>54</v>
      </c>
      <c r="M11" s="3"/>
      <c r="N11" s="15"/>
      <c r="O11" s="15"/>
      <c r="P11" s="15"/>
      <c r="Q11" s="2">
        <f t="shared" si="4"/>
        <v>0</v>
      </c>
      <c r="R11" s="15"/>
      <c r="S11" s="15"/>
      <c r="T11" s="79">
        <f t="shared" si="0"/>
        <v>0</v>
      </c>
      <c r="U11" s="80">
        <f t="shared" si="1"/>
        <v>0</v>
      </c>
    </row>
    <row r="12" spans="1:21" s="82" customFormat="1" ht="15">
      <c r="A12" s="15">
        <v>5</v>
      </c>
      <c r="B12" s="13" t="s">
        <v>14</v>
      </c>
      <c r="C12" s="13" t="s">
        <v>15</v>
      </c>
      <c r="D12" s="3">
        <v>3191.97</v>
      </c>
      <c r="E12" s="3">
        <v>834.33</v>
      </c>
      <c r="F12" s="3">
        <v>95</v>
      </c>
      <c r="G12" s="3">
        <f t="shared" si="2"/>
        <v>4121.299999999999</v>
      </c>
      <c r="H12" s="3">
        <v>90</v>
      </c>
      <c r="I12" s="15">
        <v>797.99</v>
      </c>
      <c r="J12" s="3">
        <v>208.58</v>
      </c>
      <c r="K12" s="15">
        <v>23.75</v>
      </c>
      <c r="L12" s="3">
        <f t="shared" si="3"/>
        <v>1030.3200000000002</v>
      </c>
      <c r="M12" s="2">
        <v>22.5</v>
      </c>
      <c r="N12" s="2">
        <v>2393.98</v>
      </c>
      <c r="O12" s="14">
        <v>625.75</v>
      </c>
      <c r="P12" s="14">
        <v>71.25</v>
      </c>
      <c r="Q12" s="2">
        <f t="shared" si="4"/>
        <v>3090.98</v>
      </c>
      <c r="R12" s="14">
        <v>67.5</v>
      </c>
      <c r="S12" s="15" t="s">
        <v>153</v>
      </c>
      <c r="T12" s="79">
        <f t="shared" si="0"/>
        <v>-4.547473508864641E-13</v>
      </c>
      <c r="U12" s="80">
        <f t="shared" si="1"/>
        <v>0</v>
      </c>
    </row>
    <row r="13" spans="1:21" s="82" customFormat="1" ht="15.75">
      <c r="A13" s="15">
        <v>6</v>
      </c>
      <c r="B13" s="31" t="s">
        <v>206</v>
      </c>
      <c r="C13" s="31" t="s">
        <v>205</v>
      </c>
      <c r="D13" s="32">
        <v>76</v>
      </c>
      <c r="E13" s="32">
        <v>38</v>
      </c>
      <c r="F13" s="32">
        <v>36</v>
      </c>
      <c r="G13" s="3">
        <f t="shared" si="2"/>
        <v>150</v>
      </c>
      <c r="H13" s="78"/>
      <c r="I13" s="32">
        <v>76</v>
      </c>
      <c r="J13" s="32">
        <v>38</v>
      </c>
      <c r="K13" s="32">
        <v>36</v>
      </c>
      <c r="L13" s="3">
        <f t="shared" si="3"/>
        <v>150</v>
      </c>
      <c r="M13" s="78"/>
      <c r="N13" s="77"/>
      <c r="O13" s="77"/>
      <c r="P13" s="77"/>
      <c r="Q13" s="2">
        <f t="shared" si="4"/>
        <v>0</v>
      </c>
      <c r="R13" s="78"/>
      <c r="S13" s="77"/>
      <c r="T13" s="79">
        <f t="shared" si="0"/>
        <v>0</v>
      </c>
      <c r="U13" s="80">
        <f t="shared" si="1"/>
        <v>0</v>
      </c>
    </row>
    <row r="14" spans="1:21" s="82" customFormat="1" ht="15">
      <c r="A14" s="15">
        <v>7</v>
      </c>
      <c r="B14" s="13" t="s">
        <v>16</v>
      </c>
      <c r="C14" s="13" t="s">
        <v>174</v>
      </c>
      <c r="D14" s="3">
        <v>93</v>
      </c>
      <c r="E14" s="3">
        <v>60</v>
      </c>
      <c r="F14" s="3">
        <v>12</v>
      </c>
      <c r="G14" s="3">
        <f t="shared" si="2"/>
        <v>165</v>
      </c>
      <c r="H14" s="29">
        <v>0</v>
      </c>
      <c r="I14" s="3">
        <v>93</v>
      </c>
      <c r="J14" s="3">
        <v>60</v>
      </c>
      <c r="K14" s="3">
        <v>12</v>
      </c>
      <c r="L14" s="3">
        <f t="shared" si="3"/>
        <v>165</v>
      </c>
      <c r="M14" s="3"/>
      <c r="N14" s="3"/>
      <c r="O14" s="3"/>
      <c r="P14" s="3"/>
      <c r="Q14" s="2">
        <f t="shared" si="4"/>
        <v>0</v>
      </c>
      <c r="R14" s="3"/>
      <c r="S14" s="15"/>
      <c r="T14" s="79">
        <f t="shared" si="0"/>
        <v>0</v>
      </c>
      <c r="U14" s="80">
        <f t="shared" si="1"/>
        <v>0</v>
      </c>
    </row>
    <row r="15" spans="1:21" ht="15">
      <c r="A15" s="15">
        <v>8</v>
      </c>
      <c r="B15" s="13" t="s">
        <v>18</v>
      </c>
      <c r="C15" s="13" t="s">
        <v>19</v>
      </c>
      <c r="D15" s="3">
        <v>636</v>
      </c>
      <c r="E15" s="3">
        <v>146.67</v>
      </c>
      <c r="F15" s="3">
        <v>35</v>
      </c>
      <c r="G15" s="3">
        <f t="shared" si="2"/>
        <v>817.67</v>
      </c>
      <c r="H15" s="3">
        <v>60</v>
      </c>
      <c r="I15" s="3"/>
      <c r="J15" s="3"/>
      <c r="K15" s="3"/>
      <c r="L15" s="3">
        <f t="shared" si="3"/>
        <v>0</v>
      </c>
      <c r="M15" s="3"/>
      <c r="N15" s="3">
        <v>636</v>
      </c>
      <c r="O15" s="3">
        <v>146.67</v>
      </c>
      <c r="P15" s="3">
        <v>35</v>
      </c>
      <c r="Q15" s="2">
        <f t="shared" si="4"/>
        <v>817.67</v>
      </c>
      <c r="R15" s="3">
        <v>60</v>
      </c>
      <c r="S15" s="15"/>
      <c r="T15" s="79">
        <f t="shared" si="0"/>
        <v>0</v>
      </c>
      <c r="U15" s="80">
        <f t="shared" si="1"/>
        <v>0</v>
      </c>
    </row>
    <row r="16" spans="1:21" s="82" customFormat="1" ht="30">
      <c r="A16" s="15">
        <v>9</v>
      </c>
      <c r="B16" s="13" t="s">
        <v>20</v>
      </c>
      <c r="C16" s="13" t="s">
        <v>21</v>
      </c>
      <c r="D16" s="3">
        <v>44</v>
      </c>
      <c r="E16" s="3">
        <v>63</v>
      </c>
      <c r="F16" s="3">
        <v>30</v>
      </c>
      <c r="G16" s="3">
        <f t="shared" si="2"/>
        <v>137</v>
      </c>
      <c r="H16" s="3">
        <v>0</v>
      </c>
      <c r="I16" s="3">
        <v>44</v>
      </c>
      <c r="J16" s="3">
        <v>63</v>
      </c>
      <c r="K16" s="3">
        <v>30</v>
      </c>
      <c r="L16" s="3">
        <f t="shared" si="3"/>
        <v>137</v>
      </c>
      <c r="M16" s="3"/>
      <c r="N16" s="15"/>
      <c r="O16" s="15"/>
      <c r="P16" s="15"/>
      <c r="Q16" s="2">
        <f t="shared" si="4"/>
        <v>0</v>
      </c>
      <c r="R16" s="15"/>
      <c r="S16" s="15"/>
      <c r="T16" s="79">
        <f t="shared" si="0"/>
        <v>0</v>
      </c>
      <c r="U16" s="80">
        <f t="shared" si="1"/>
        <v>0</v>
      </c>
    </row>
    <row r="17" spans="1:21" ht="15">
      <c r="A17" s="15">
        <v>10</v>
      </c>
      <c r="B17" s="13" t="s">
        <v>26</v>
      </c>
      <c r="C17" s="13" t="s">
        <v>27</v>
      </c>
      <c r="D17" s="3">
        <v>2807.68</v>
      </c>
      <c r="E17" s="3">
        <v>848</v>
      </c>
      <c r="F17" s="3">
        <v>59</v>
      </c>
      <c r="G17" s="3">
        <f t="shared" si="2"/>
        <v>3714.68</v>
      </c>
      <c r="H17" s="3">
        <v>150</v>
      </c>
      <c r="I17" s="15">
        <v>701.92</v>
      </c>
      <c r="J17" s="15">
        <v>173.75</v>
      </c>
      <c r="K17" s="15">
        <v>14.75</v>
      </c>
      <c r="L17" s="3">
        <f t="shared" si="3"/>
        <v>890.42</v>
      </c>
      <c r="M17" s="15">
        <v>37.5</v>
      </c>
      <c r="N17" s="15">
        <v>2105.76</v>
      </c>
      <c r="O17" s="15">
        <v>674.25</v>
      </c>
      <c r="P17" s="15">
        <v>44.25</v>
      </c>
      <c r="Q17" s="2">
        <f t="shared" si="4"/>
        <v>2824.26</v>
      </c>
      <c r="R17" s="15">
        <v>112.5</v>
      </c>
      <c r="S17" s="32" t="s">
        <v>203</v>
      </c>
      <c r="T17" s="79">
        <f t="shared" si="0"/>
        <v>-4.547473508864641E-13</v>
      </c>
      <c r="U17" s="80">
        <f t="shared" si="1"/>
        <v>0</v>
      </c>
    </row>
    <row r="18" spans="1:21" ht="15">
      <c r="A18" s="15">
        <v>11</v>
      </c>
      <c r="B18" s="13" t="s">
        <v>320</v>
      </c>
      <c r="C18" s="13" t="s">
        <v>321</v>
      </c>
      <c r="D18" s="3">
        <v>12.8</v>
      </c>
      <c r="E18" s="3">
        <v>60</v>
      </c>
      <c r="F18" s="3">
        <v>7</v>
      </c>
      <c r="G18" s="3">
        <f t="shared" si="2"/>
        <v>79.8</v>
      </c>
      <c r="H18" s="3">
        <v>0</v>
      </c>
      <c r="I18" s="3">
        <v>12.8</v>
      </c>
      <c r="J18" s="3">
        <v>60</v>
      </c>
      <c r="K18" s="3">
        <v>7</v>
      </c>
      <c r="L18" s="3">
        <f t="shared" si="3"/>
        <v>79.8</v>
      </c>
      <c r="M18" s="3"/>
      <c r="N18" s="15"/>
      <c r="O18" s="15"/>
      <c r="P18" s="15"/>
      <c r="Q18" s="2">
        <f t="shared" si="4"/>
        <v>0</v>
      </c>
      <c r="R18" s="15"/>
      <c r="S18" s="14">
        <f>G18-L18-Q18</f>
        <v>0</v>
      </c>
      <c r="T18" s="79">
        <f t="shared" si="0"/>
        <v>0</v>
      </c>
      <c r="U18" s="80">
        <f t="shared" si="1"/>
        <v>0</v>
      </c>
    </row>
    <row r="19" spans="1:21" s="82" customFormat="1" ht="15">
      <c r="A19" s="15">
        <v>12</v>
      </c>
      <c r="B19" s="13" t="s">
        <v>322</v>
      </c>
      <c r="C19" s="13" t="s">
        <v>323</v>
      </c>
      <c r="D19" s="3">
        <v>33.5</v>
      </c>
      <c r="E19" s="3">
        <v>53.33</v>
      </c>
      <c r="F19" s="3">
        <v>0</v>
      </c>
      <c r="G19" s="3">
        <f t="shared" si="2"/>
        <v>86.83</v>
      </c>
      <c r="H19" s="3">
        <v>0</v>
      </c>
      <c r="I19" s="3">
        <v>33.5</v>
      </c>
      <c r="J19" s="3">
        <v>53.33</v>
      </c>
      <c r="K19" s="3">
        <v>0</v>
      </c>
      <c r="L19" s="3">
        <f t="shared" si="3"/>
        <v>86.83</v>
      </c>
      <c r="M19" s="3"/>
      <c r="N19" s="15"/>
      <c r="O19" s="15"/>
      <c r="P19" s="15"/>
      <c r="Q19" s="2">
        <f t="shared" si="4"/>
        <v>0</v>
      </c>
      <c r="R19" s="15"/>
      <c r="S19" s="14">
        <f>G19-L19-Q19</f>
        <v>0</v>
      </c>
      <c r="T19" s="79">
        <f t="shared" si="0"/>
        <v>0</v>
      </c>
      <c r="U19" s="80">
        <f t="shared" si="1"/>
        <v>0</v>
      </c>
    </row>
    <row r="20" spans="1:21" s="82" customFormat="1" ht="15">
      <c r="A20" s="15">
        <v>13</v>
      </c>
      <c r="B20" s="13" t="s">
        <v>34</v>
      </c>
      <c r="C20" s="13" t="s">
        <v>35</v>
      </c>
      <c r="D20" s="3">
        <v>5.2</v>
      </c>
      <c r="E20" s="3">
        <v>68</v>
      </c>
      <c r="F20" s="3">
        <v>0</v>
      </c>
      <c r="G20" s="3">
        <f t="shared" si="2"/>
        <v>73.2</v>
      </c>
      <c r="H20" s="3">
        <v>0</v>
      </c>
      <c r="I20" s="3">
        <v>5.2</v>
      </c>
      <c r="J20" s="3">
        <v>68</v>
      </c>
      <c r="K20" s="3">
        <v>0</v>
      </c>
      <c r="L20" s="3">
        <f t="shared" si="3"/>
        <v>73.2</v>
      </c>
      <c r="M20" s="3"/>
      <c r="N20" s="15"/>
      <c r="O20" s="15"/>
      <c r="P20" s="15"/>
      <c r="Q20" s="2">
        <f t="shared" si="4"/>
        <v>0</v>
      </c>
      <c r="R20" s="15"/>
      <c r="S20" s="14">
        <f>G20-L20-Q20</f>
        <v>0</v>
      </c>
      <c r="T20" s="79">
        <f t="shared" si="0"/>
        <v>0</v>
      </c>
      <c r="U20" s="80">
        <f t="shared" si="1"/>
        <v>0</v>
      </c>
    </row>
    <row r="21" spans="1:21" ht="15">
      <c r="A21" s="15">
        <v>14</v>
      </c>
      <c r="B21" s="13" t="s">
        <v>210</v>
      </c>
      <c r="C21" s="13" t="s">
        <v>267</v>
      </c>
      <c r="D21" s="15">
        <v>6</v>
      </c>
      <c r="E21" s="3">
        <v>208</v>
      </c>
      <c r="F21" s="3">
        <v>12</v>
      </c>
      <c r="G21" s="3">
        <f t="shared" si="2"/>
        <v>226</v>
      </c>
      <c r="H21" s="3"/>
      <c r="I21" s="3">
        <f>D21*0.25</f>
        <v>1.5</v>
      </c>
      <c r="J21" s="3">
        <f>E21*0.25</f>
        <v>52</v>
      </c>
      <c r="K21" s="3">
        <f>12*0.25</f>
        <v>3</v>
      </c>
      <c r="L21" s="3">
        <f t="shared" si="3"/>
        <v>56.5</v>
      </c>
      <c r="M21" s="15"/>
      <c r="N21" s="14">
        <f>D21*0.75</f>
        <v>4.5</v>
      </c>
      <c r="O21" s="14">
        <f>E21*0.75</f>
        <v>156</v>
      </c>
      <c r="P21" s="14">
        <f>F21*0.75</f>
        <v>9</v>
      </c>
      <c r="Q21" s="2">
        <f t="shared" si="4"/>
        <v>169.5</v>
      </c>
      <c r="R21" s="15"/>
      <c r="S21" s="15"/>
      <c r="T21" s="79">
        <f t="shared" si="0"/>
        <v>0</v>
      </c>
      <c r="U21" s="80">
        <f t="shared" si="1"/>
        <v>0</v>
      </c>
    </row>
    <row r="22" spans="1:21" s="41" customFormat="1" ht="30">
      <c r="A22" s="15">
        <v>15</v>
      </c>
      <c r="B22" s="13" t="s">
        <v>324</v>
      </c>
      <c r="C22" s="13" t="s">
        <v>325</v>
      </c>
      <c r="D22" s="3">
        <v>11</v>
      </c>
      <c r="E22" s="3">
        <v>45</v>
      </c>
      <c r="F22" s="3">
        <v>0</v>
      </c>
      <c r="G22" s="3">
        <f t="shared" si="2"/>
        <v>56</v>
      </c>
      <c r="H22" s="3">
        <v>0</v>
      </c>
      <c r="I22" s="3"/>
      <c r="J22" s="3"/>
      <c r="K22" s="3"/>
      <c r="L22" s="3">
        <f t="shared" si="3"/>
        <v>0</v>
      </c>
      <c r="M22" s="15"/>
      <c r="N22" s="15"/>
      <c r="O22" s="15"/>
      <c r="P22" s="15"/>
      <c r="Q22" s="15"/>
      <c r="R22" s="15"/>
      <c r="S22" s="14"/>
      <c r="T22" s="80"/>
      <c r="U22" s="80">
        <f t="shared" si="1"/>
        <v>0</v>
      </c>
    </row>
    <row r="23" spans="1:21" ht="30">
      <c r="A23" s="15">
        <v>16</v>
      </c>
      <c r="B23" s="13" t="s">
        <v>283</v>
      </c>
      <c r="C23" s="13" t="s">
        <v>284</v>
      </c>
      <c r="D23" s="3">
        <f>155+607.98+182.75+857.55</f>
        <v>1803.28</v>
      </c>
      <c r="E23" s="3">
        <f>39+130+93.66+195.65</f>
        <v>458.30999999999995</v>
      </c>
      <c r="F23" s="3">
        <f>35+3*12</f>
        <v>71</v>
      </c>
      <c r="G23" s="3">
        <f t="shared" si="2"/>
        <v>2332.59</v>
      </c>
      <c r="H23" s="3">
        <f>60+60</f>
        <v>120</v>
      </c>
      <c r="I23" s="14">
        <f>186.98+182.75+283.55</f>
        <v>653.28</v>
      </c>
      <c r="J23" s="14">
        <f>32.5+93.66+48.91</f>
        <v>175.07</v>
      </c>
      <c r="K23" s="14">
        <f>3+35+3</f>
        <v>41</v>
      </c>
      <c r="L23" s="3">
        <f>I23+J23+K23</f>
        <v>869.3499999999999</v>
      </c>
      <c r="M23" s="14">
        <f>15+15</f>
        <v>30</v>
      </c>
      <c r="N23" s="14">
        <f>D23-I23</f>
        <v>1150</v>
      </c>
      <c r="O23" s="14">
        <f>E23-J23</f>
        <v>283.23999999999995</v>
      </c>
      <c r="P23" s="14">
        <f>F23-K23</f>
        <v>30</v>
      </c>
      <c r="Q23" s="14">
        <f>G23-L23</f>
        <v>1463.2400000000002</v>
      </c>
      <c r="R23" s="14">
        <f>H23-M23</f>
        <v>90</v>
      </c>
      <c r="S23" s="83" t="s">
        <v>326</v>
      </c>
      <c r="T23" s="80">
        <f t="shared" si="0"/>
        <v>2.8421709430404007E-13</v>
      </c>
      <c r="U23" s="80">
        <f t="shared" si="1"/>
        <v>0</v>
      </c>
    </row>
    <row r="24" spans="1:21" ht="15">
      <c r="A24" s="15">
        <v>17</v>
      </c>
      <c r="B24" s="13" t="s">
        <v>42</v>
      </c>
      <c r="C24" s="13" t="s">
        <v>43</v>
      </c>
      <c r="D24" s="3">
        <v>0</v>
      </c>
      <c r="E24" s="3">
        <v>56</v>
      </c>
      <c r="F24" s="3">
        <v>2</v>
      </c>
      <c r="G24" s="3">
        <f t="shared" si="2"/>
        <v>58</v>
      </c>
      <c r="H24" s="3">
        <v>0</v>
      </c>
      <c r="I24" s="3">
        <v>0</v>
      </c>
      <c r="J24" s="3">
        <v>56</v>
      </c>
      <c r="K24" s="3">
        <v>2</v>
      </c>
      <c r="L24" s="3">
        <f t="shared" si="3"/>
        <v>58</v>
      </c>
      <c r="M24" s="15">
        <v>0</v>
      </c>
      <c r="N24" s="15"/>
      <c r="O24" s="15"/>
      <c r="P24" s="15"/>
      <c r="Q24" s="2">
        <f t="shared" si="4"/>
        <v>0</v>
      </c>
      <c r="R24" s="15"/>
      <c r="S24" s="14">
        <v>0</v>
      </c>
      <c r="T24" s="79">
        <f t="shared" si="0"/>
        <v>0</v>
      </c>
      <c r="U24" s="80">
        <f t="shared" si="1"/>
        <v>0</v>
      </c>
    </row>
    <row r="25" spans="1:21" s="82" customFormat="1" ht="15">
      <c r="A25" s="15">
        <v>18</v>
      </c>
      <c r="B25" s="13" t="s">
        <v>285</v>
      </c>
      <c r="C25" s="13" t="s">
        <v>286</v>
      </c>
      <c r="D25" s="3">
        <f>550.5+507.8+711.73+431+563.68</f>
        <v>2764.7099999999996</v>
      </c>
      <c r="E25" s="3">
        <f>105+127+174+121+163</f>
        <v>690</v>
      </c>
      <c r="F25" s="3">
        <f>12*4+35</f>
        <v>83</v>
      </c>
      <c r="G25" s="3">
        <f t="shared" si="2"/>
        <v>3537.7099999999996</v>
      </c>
      <c r="H25" s="3">
        <f>30*5</f>
        <v>150</v>
      </c>
      <c r="I25" s="14">
        <f>161.33+109+185.73+182.8</f>
        <v>638.8600000000001</v>
      </c>
      <c r="J25" s="14">
        <f>40.75+30.25+43.5+31.75</f>
        <v>146.25</v>
      </c>
      <c r="K25" s="14">
        <f>8.75+3*3</f>
        <v>17.75</v>
      </c>
      <c r="L25" s="3">
        <f t="shared" si="3"/>
        <v>802.8600000000001</v>
      </c>
      <c r="M25" s="14">
        <f>7.5*4</f>
        <v>30</v>
      </c>
      <c r="N25" s="14">
        <f>402.35+322+526+325+550.5</f>
        <v>2125.85</v>
      </c>
      <c r="O25" s="14">
        <f>E25-J25</f>
        <v>543.75</v>
      </c>
      <c r="P25" s="14">
        <f>F25-K25</f>
        <v>65.25</v>
      </c>
      <c r="Q25" s="15">
        <f>SUM(N25:P25)</f>
        <v>2734.85</v>
      </c>
      <c r="R25" s="14">
        <f>H25-M25</f>
        <v>120</v>
      </c>
      <c r="S25" s="14" t="s">
        <v>327</v>
      </c>
      <c r="T25" s="79">
        <f t="shared" si="0"/>
        <v>-4.547473508864641E-13</v>
      </c>
      <c r="U25" s="80">
        <f t="shared" si="1"/>
        <v>0</v>
      </c>
    </row>
    <row r="26" spans="1:21" s="82" customFormat="1" ht="15">
      <c r="A26" s="15">
        <v>19</v>
      </c>
      <c r="B26" s="13" t="s">
        <v>218</v>
      </c>
      <c r="C26" s="13" t="s">
        <v>217</v>
      </c>
      <c r="D26" s="3">
        <v>38</v>
      </c>
      <c r="E26" s="3">
        <v>64</v>
      </c>
      <c r="F26" s="3">
        <v>17</v>
      </c>
      <c r="G26" s="3">
        <f t="shared" si="2"/>
        <v>119</v>
      </c>
      <c r="H26" s="3"/>
      <c r="I26" s="3">
        <v>38</v>
      </c>
      <c r="J26" s="3">
        <v>64</v>
      </c>
      <c r="K26" s="3">
        <v>17</v>
      </c>
      <c r="L26" s="3">
        <f t="shared" si="3"/>
        <v>119</v>
      </c>
      <c r="M26" s="15"/>
      <c r="N26" s="15"/>
      <c r="O26" s="15"/>
      <c r="P26" s="15"/>
      <c r="Q26" s="2">
        <f t="shared" si="4"/>
        <v>0</v>
      </c>
      <c r="R26" s="15"/>
      <c r="S26" s="15"/>
      <c r="T26" s="79">
        <f t="shared" si="0"/>
        <v>0</v>
      </c>
      <c r="U26" s="80">
        <f t="shared" si="1"/>
        <v>0</v>
      </c>
    </row>
    <row r="27" spans="1:21" ht="15">
      <c r="A27" s="15">
        <v>20</v>
      </c>
      <c r="B27" s="13" t="s">
        <v>48</v>
      </c>
      <c r="C27" s="13" t="s">
        <v>49</v>
      </c>
      <c r="D27" s="3">
        <v>44.48</v>
      </c>
      <c r="E27" s="3">
        <v>56.34</v>
      </c>
      <c r="F27" s="3">
        <v>17</v>
      </c>
      <c r="G27" s="3">
        <f t="shared" si="2"/>
        <v>117.82</v>
      </c>
      <c r="H27" s="3">
        <v>0</v>
      </c>
      <c r="I27" s="3">
        <v>44.48</v>
      </c>
      <c r="J27" s="3">
        <v>56.34</v>
      </c>
      <c r="K27" s="3">
        <v>17</v>
      </c>
      <c r="L27" s="3">
        <f t="shared" si="3"/>
        <v>117.82</v>
      </c>
      <c r="M27" s="15">
        <v>0</v>
      </c>
      <c r="N27" s="15"/>
      <c r="O27" s="15"/>
      <c r="P27" s="15"/>
      <c r="Q27" s="2">
        <f t="shared" si="4"/>
        <v>0</v>
      </c>
      <c r="R27" s="15"/>
      <c r="S27" s="14">
        <v>0</v>
      </c>
      <c r="T27" s="79">
        <f t="shared" si="0"/>
        <v>0</v>
      </c>
      <c r="U27" s="80">
        <f t="shared" si="1"/>
        <v>0</v>
      </c>
    </row>
    <row r="28" spans="1:21" s="82" customFormat="1" ht="30">
      <c r="A28" s="15">
        <v>387</v>
      </c>
      <c r="B28" s="13" t="s">
        <v>222</v>
      </c>
      <c r="C28" s="13" t="s">
        <v>221</v>
      </c>
      <c r="D28" s="3">
        <v>1620.59</v>
      </c>
      <c r="E28" s="3">
        <v>475.5</v>
      </c>
      <c r="F28" s="3">
        <v>75</v>
      </c>
      <c r="G28" s="3">
        <f t="shared" si="2"/>
        <v>2171.09</v>
      </c>
      <c r="H28" s="3">
        <v>60</v>
      </c>
      <c r="I28" s="14">
        <f aca="true" t="shared" si="5" ref="I28:K29">D28*0.25</f>
        <v>405.1475</v>
      </c>
      <c r="J28" s="14">
        <f t="shared" si="5"/>
        <v>118.875</v>
      </c>
      <c r="K28" s="14">
        <f t="shared" si="5"/>
        <v>18.75</v>
      </c>
      <c r="L28" s="3">
        <f t="shared" si="3"/>
        <v>542.7725</v>
      </c>
      <c r="M28" s="3">
        <v>15</v>
      </c>
      <c r="N28" s="14">
        <f aca="true" t="shared" si="6" ref="N28:P29">D28*0.75</f>
        <v>1215.4424999999999</v>
      </c>
      <c r="O28" s="14">
        <f t="shared" si="6"/>
        <v>356.625</v>
      </c>
      <c r="P28" s="14">
        <f t="shared" si="6"/>
        <v>56.25</v>
      </c>
      <c r="Q28" s="2">
        <f t="shared" si="4"/>
        <v>1628.3174999999999</v>
      </c>
      <c r="R28" s="15">
        <v>45</v>
      </c>
      <c r="S28" s="15"/>
      <c r="T28" s="79">
        <f t="shared" si="0"/>
        <v>2.2737367544323206E-13</v>
      </c>
      <c r="U28" s="80">
        <f t="shared" si="1"/>
        <v>0</v>
      </c>
    </row>
    <row r="29" spans="1:21" ht="15">
      <c r="A29" s="15">
        <v>22</v>
      </c>
      <c r="B29" s="13" t="s">
        <v>229</v>
      </c>
      <c r="C29" s="13" t="s">
        <v>228</v>
      </c>
      <c r="D29" s="3">
        <v>2147.5</v>
      </c>
      <c r="E29" s="3">
        <v>499</v>
      </c>
      <c r="F29" s="3">
        <v>47</v>
      </c>
      <c r="G29" s="3">
        <f t="shared" si="2"/>
        <v>2693.5</v>
      </c>
      <c r="H29" s="3">
        <v>30</v>
      </c>
      <c r="I29" s="14">
        <f t="shared" si="5"/>
        <v>536.875</v>
      </c>
      <c r="J29" s="14">
        <f t="shared" si="5"/>
        <v>124.75</v>
      </c>
      <c r="K29" s="14">
        <f t="shared" si="5"/>
        <v>11.75</v>
      </c>
      <c r="L29" s="3">
        <f t="shared" si="3"/>
        <v>673.375</v>
      </c>
      <c r="M29" s="15">
        <f>30*0.25</f>
        <v>7.5</v>
      </c>
      <c r="N29" s="14">
        <f t="shared" si="6"/>
        <v>1610.625</v>
      </c>
      <c r="O29" s="14">
        <f t="shared" si="6"/>
        <v>374.25</v>
      </c>
      <c r="P29" s="14">
        <f t="shared" si="6"/>
        <v>35.25</v>
      </c>
      <c r="Q29" s="2">
        <f t="shared" si="4"/>
        <v>2020.125</v>
      </c>
      <c r="R29" s="15">
        <f>30*0.75</f>
        <v>22.5</v>
      </c>
      <c r="S29" s="15"/>
      <c r="T29" s="79">
        <f t="shared" si="0"/>
        <v>0</v>
      </c>
      <c r="U29" s="80">
        <f t="shared" si="1"/>
        <v>0</v>
      </c>
    </row>
    <row r="30" spans="1:21" ht="30">
      <c r="A30" s="15">
        <v>23</v>
      </c>
      <c r="B30" s="13" t="s">
        <v>50</v>
      </c>
      <c r="C30" s="13" t="s">
        <v>51</v>
      </c>
      <c r="D30" s="3">
        <v>107</v>
      </c>
      <c r="E30" s="3">
        <v>43.33</v>
      </c>
      <c r="F30" s="3">
        <v>17</v>
      </c>
      <c r="G30" s="3">
        <f t="shared" si="2"/>
        <v>167.32999999999998</v>
      </c>
      <c r="H30" s="3">
        <v>30</v>
      </c>
      <c r="I30" s="3">
        <v>107</v>
      </c>
      <c r="J30" s="3">
        <v>43.33</v>
      </c>
      <c r="K30" s="3">
        <v>17</v>
      </c>
      <c r="L30" s="3">
        <f t="shared" si="3"/>
        <v>167.32999999999998</v>
      </c>
      <c r="M30" s="15">
        <v>30</v>
      </c>
      <c r="N30" s="15"/>
      <c r="O30" s="15"/>
      <c r="P30" s="15"/>
      <c r="Q30" s="2">
        <f t="shared" si="4"/>
        <v>0</v>
      </c>
      <c r="R30" s="15"/>
      <c r="S30" s="14">
        <f>G30-L30-Q30</f>
        <v>0</v>
      </c>
      <c r="T30" s="79">
        <f t="shared" si="0"/>
        <v>-1.4210854715202004E-14</v>
      </c>
      <c r="U30" s="80">
        <f t="shared" si="1"/>
        <v>0</v>
      </c>
    </row>
    <row r="31" spans="1:21" ht="30">
      <c r="A31" s="15">
        <v>24</v>
      </c>
      <c r="B31" s="13" t="s">
        <v>52</v>
      </c>
      <c r="C31" s="13" t="s">
        <v>53</v>
      </c>
      <c r="D31" s="3">
        <v>72.5</v>
      </c>
      <c r="E31" s="3">
        <v>107</v>
      </c>
      <c r="F31" s="3">
        <v>17</v>
      </c>
      <c r="G31" s="3">
        <f t="shared" si="2"/>
        <v>196.5</v>
      </c>
      <c r="H31" s="3">
        <v>0</v>
      </c>
      <c r="I31" s="3">
        <v>72.5</v>
      </c>
      <c r="J31" s="3">
        <v>107</v>
      </c>
      <c r="K31" s="3">
        <v>17</v>
      </c>
      <c r="L31" s="3">
        <f t="shared" si="3"/>
        <v>196.5</v>
      </c>
      <c r="M31" s="3"/>
      <c r="N31" s="15"/>
      <c r="O31" s="15"/>
      <c r="Q31" s="2">
        <f t="shared" si="4"/>
        <v>0</v>
      </c>
      <c r="R31" s="15"/>
      <c r="S31" s="14">
        <f>G31-L31-Q31</f>
        <v>0</v>
      </c>
      <c r="T31" s="79">
        <f t="shared" si="0"/>
        <v>0</v>
      </c>
      <c r="U31" s="80">
        <f t="shared" si="1"/>
        <v>0</v>
      </c>
    </row>
    <row r="32" spans="1:21" s="82" customFormat="1" ht="15">
      <c r="A32" s="15">
        <v>25</v>
      </c>
      <c r="B32" s="16" t="s">
        <v>328</v>
      </c>
      <c r="C32" s="13" t="s">
        <v>329</v>
      </c>
      <c r="D32" s="3">
        <v>24</v>
      </c>
      <c r="E32" s="3">
        <v>56</v>
      </c>
      <c r="F32" s="3">
        <v>2</v>
      </c>
      <c r="G32" s="3">
        <f t="shared" si="2"/>
        <v>82</v>
      </c>
      <c r="H32" s="3">
        <v>0</v>
      </c>
      <c r="I32" s="15"/>
      <c r="J32" s="15"/>
      <c r="K32" s="15"/>
      <c r="L32" s="3">
        <f t="shared" si="3"/>
        <v>0</v>
      </c>
      <c r="M32" s="15"/>
      <c r="N32" s="3">
        <v>24</v>
      </c>
      <c r="O32" s="3">
        <v>56</v>
      </c>
      <c r="P32" s="3">
        <v>2</v>
      </c>
      <c r="Q32" s="2">
        <f t="shared" si="4"/>
        <v>82</v>
      </c>
      <c r="R32" s="3">
        <v>0</v>
      </c>
      <c r="S32" s="14">
        <f>G32-L32-Q32</f>
        <v>0</v>
      </c>
      <c r="T32" s="79">
        <f t="shared" si="0"/>
        <v>0</v>
      </c>
      <c r="U32" s="80">
        <f t="shared" si="1"/>
        <v>0</v>
      </c>
    </row>
    <row r="33" spans="1:25" ht="30">
      <c r="A33" s="15">
        <v>26</v>
      </c>
      <c r="B33" s="16" t="s">
        <v>60</v>
      </c>
      <c r="C33" s="13" t="s">
        <v>61</v>
      </c>
      <c r="D33" s="3">
        <v>105.2</v>
      </c>
      <c r="E33" s="3">
        <v>112</v>
      </c>
      <c r="F33" s="3">
        <v>17</v>
      </c>
      <c r="G33" s="3">
        <f t="shared" si="2"/>
        <v>234.2</v>
      </c>
      <c r="H33" s="85">
        <v>30</v>
      </c>
      <c r="I33" s="85">
        <v>105.2</v>
      </c>
      <c r="J33" s="85">
        <v>112</v>
      </c>
      <c r="K33" s="85">
        <v>17</v>
      </c>
      <c r="L33" s="85">
        <f t="shared" si="3"/>
        <v>234.2</v>
      </c>
      <c r="M33" s="85">
        <v>30</v>
      </c>
      <c r="N33" s="15"/>
      <c r="O33" s="15"/>
      <c r="P33" s="15"/>
      <c r="Q33" s="2">
        <f t="shared" si="4"/>
        <v>0</v>
      </c>
      <c r="R33" s="15"/>
      <c r="S33" s="14">
        <v>0</v>
      </c>
      <c r="T33" s="79">
        <f t="shared" si="0"/>
        <v>0</v>
      </c>
      <c r="U33" s="80">
        <f t="shared" si="1"/>
        <v>0</v>
      </c>
      <c r="V33" s="79">
        <v>0</v>
      </c>
      <c r="W33" s="79">
        <v>0</v>
      </c>
      <c r="X33" s="79">
        <v>0</v>
      </c>
      <c r="Y33" s="79" t="e">
        <v>#VALUE!</v>
      </c>
    </row>
    <row r="34" spans="1:21" s="82" customFormat="1" ht="15">
      <c r="A34" s="15">
        <v>27</v>
      </c>
      <c r="B34" s="16" t="s">
        <v>64</v>
      </c>
      <c r="C34" s="13" t="s">
        <v>65</v>
      </c>
      <c r="D34" s="3">
        <v>1484.5</v>
      </c>
      <c r="E34" s="3">
        <v>362</v>
      </c>
      <c r="F34" s="3">
        <v>39</v>
      </c>
      <c r="G34" s="3">
        <f t="shared" si="2"/>
        <v>1885.5</v>
      </c>
      <c r="H34" s="3">
        <v>60</v>
      </c>
      <c r="I34" s="15">
        <v>371.13</v>
      </c>
      <c r="J34" s="15">
        <v>90.5</v>
      </c>
      <c r="K34" s="15">
        <v>9.75</v>
      </c>
      <c r="L34" s="3">
        <f t="shared" si="3"/>
        <v>471.38</v>
      </c>
      <c r="M34" s="15">
        <v>15</v>
      </c>
      <c r="N34" s="15">
        <v>1113.37</v>
      </c>
      <c r="O34" s="14">
        <v>271.5</v>
      </c>
      <c r="P34" s="14">
        <v>29.25</v>
      </c>
      <c r="Q34" s="2">
        <f>SUM(N34:P34)</f>
        <v>1414.12</v>
      </c>
      <c r="R34" s="14">
        <v>45</v>
      </c>
      <c r="S34" s="14" t="s">
        <v>154</v>
      </c>
      <c r="T34" s="79">
        <f t="shared" si="0"/>
        <v>0</v>
      </c>
      <c r="U34" s="80">
        <f t="shared" si="1"/>
        <v>0</v>
      </c>
    </row>
    <row r="35" spans="1:21" s="82" customFormat="1" ht="30">
      <c r="A35" s="15">
        <v>28</v>
      </c>
      <c r="B35" s="16" t="s">
        <v>68</v>
      </c>
      <c r="C35" s="13" t="s">
        <v>69</v>
      </c>
      <c r="D35" s="3">
        <v>100.65</v>
      </c>
      <c r="E35" s="3">
        <v>48</v>
      </c>
      <c r="F35" s="3">
        <v>7</v>
      </c>
      <c r="G35" s="3">
        <f t="shared" si="2"/>
        <v>155.65</v>
      </c>
      <c r="H35" s="3">
        <v>0</v>
      </c>
      <c r="I35" s="3">
        <v>100.65</v>
      </c>
      <c r="J35" s="3">
        <v>48</v>
      </c>
      <c r="K35" s="3">
        <v>7</v>
      </c>
      <c r="L35" s="3">
        <f t="shared" si="3"/>
        <v>155.65</v>
      </c>
      <c r="M35" s="3">
        <v>0</v>
      </c>
      <c r="N35" s="15"/>
      <c r="O35" s="15"/>
      <c r="P35" s="15"/>
      <c r="Q35" s="2">
        <f t="shared" si="4"/>
        <v>0</v>
      </c>
      <c r="R35" s="15"/>
      <c r="S35" s="14">
        <f>G35-L35-Q35</f>
        <v>0</v>
      </c>
      <c r="T35" s="79">
        <f t="shared" si="0"/>
        <v>0</v>
      </c>
      <c r="U35" s="80">
        <f t="shared" si="1"/>
        <v>0</v>
      </c>
    </row>
    <row r="36" spans="1:21" s="82" customFormat="1" ht="30">
      <c r="A36" s="15">
        <v>29</v>
      </c>
      <c r="B36" s="16" t="s">
        <v>70</v>
      </c>
      <c r="C36" s="13" t="s">
        <v>71</v>
      </c>
      <c r="D36" s="3">
        <v>182.15</v>
      </c>
      <c r="E36" s="3">
        <v>182</v>
      </c>
      <c r="F36" s="3">
        <v>17</v>
      </c>
      <c r="G36" s="3">
        <f t="shared" si="2"/>
        <v>381.15</v>
      </c>
      <c r="H36" s="3">
        <v>0</v>
      </c>
      <c r="I36" s="15">
        <v>25.9</v>
      </c>
      <c r="J36" s="15">
        <v>45.5</v>
      </c>
      <c r="K36" s="15">
        <v>4.25</v>
      </c>
      <c r="L36" s="3">
        <f t="shared" si="3"/>
        <v>75.65</v>
      </c>
      <c r="M36" s="15">
        <v>0</v>
      </c>
      <c r="N36" s="14">
        <v>156.25</v>
      </c>
      <c r="O36" s="15">
        <v>136.85</v>
      </c>
      <c r="P36" s="15">
        <v>12.4</v>
      </c>
      <c r="Q36" s="2">
        <f>SUM(N36:P36)</f>
        <v>305.5</v>
      </c>
      <c r="R36" s="15">
        <v>0</v>
      </c>
      <c r="S36" s="14"/>
      <c r="T36" s="79">
        <f t="shared" si="0"/>
        <v>0</v>
      </c>
      <c r="U36" s="80">
        <f t="shared" si="1"/>
        <v>0</v>
      </c>
    </row>
    <row r="37" spans="1:21" ht="15">
      <c r="A37" s="15">
        <v>30</v>
      </c>
      <c r="B37" s="16" t="s">
        <v>72</v>
      </c>
      <c r="C37" s="13" t="s">
        <v>155</v>
      </c>
      <c r="D37" s="3">
        <v>42.6</v>
      </c>
      <c r="E37" s="3">
        <v>48</v>
      </c>
      <c r="F37" s="3">
        <v>30</v>
      </c>
      <c r="G37" s="3">
        <f t="shared" si="2"/>
        <v>120.6</v>
      </c>
      <c r="H37" s="3">
        <v>0</v>
      </c>
      <c r="I37" s="3">
        <v>42.6</v>
      </c>
      <c r="J37" s="3">
        <v>48</v>
      </c>
      <c r="K37" s="3">
        <v>30</v>
      </c>
      <c r="L37" s="3">
        <f t="shared" si="3"/>
        <v>120.6</v>
      </c>
      <c r="M37" s="3">
        <v>0</v>
      </c>
      <c r="N37" s="15"/>
      <c r="O37" s="15"/>
      <c r="P37" s="15"/>
      <c r="Q37" s="2">
        <f t="shared" si="4"/>
        <v>0</v>
      </c>
      <c r="R37" s="15"/>
      <c r="S37" s="14">
        <v>0</v>
      </c>
      <c r="T37" s="79">
        <f t="shared" si="0"/>
        <v>0</v>
      </c>
      <c r="U37" s="80">
        <f t="shared" si="1"/>
        <v>0</v>
      </c>
    </row>
    <row r="38" spans="1:21" s="82" customFormat="1" ht="15">
      <c r="A38" s="15">
        <v>31</v>
      </c>
      <c r="B38" s="13" t="s">
        <v>234</v>
      </c>
      <c r="C38" s="13" t="s">
        <v>233</v>
      </c>
      <c r="D38" s="3">
        <v>18</v>
      </c>
      <c r="E38" s="3">
        <v>56</v>
      </c>
      <c r="F38" s="3">
        <v>22</v>
      </c>
      <c r="G38" s="3">
        <f t="shared" si="2"/>
        <v>96</v>
      </c>
      <c r="H38" s="3"/>
      <c r="I38" s="3">
        <v>18</v>
      </c>
      <c r="J38" s="3">
        <v>56</v>
      </c>
      <c r="K38" s="3">
        <v>22</v>
      </c>
      <c r="L38" s="3">
        <f t="shared" si="3"/>
        <v>96</v>
      </c>
      <c r="M38" s="15"/>
      <c r="N38" s="15"/>
      <c r="O38" s="15"/>
      <c r="P38" s="15"/>
      <c r="Q38" s="2">
        <f t="shared" si="4"/>
        <v>0</v>
      </c>
      <c r="R38" s="15"/>
      <c r="S38" s="15"/>
      <c r="T38" s="79">
        <f t="shared" si="0"/>
        <v>0</v>
      </c>
      <c r="U38" s="80">
        <f t="shared" si="1"/>
        <v>0</v>
      </c>
    </row>
    <row r="39" spans="1:21" s="81" customFormat="1" ht="15">
      <c r="A39" s="15">
        <v>32</v>
      </c>
      <c r="B39" s="16" t="s">
        <v>79</v>
      </c>
      <c r="C39" s="13" t="s">
        <v>80</v>
      </c>
      <c r="D39" s="3">
        <v>199.5</v>
      </c>
      <c r="E39" s="3">
        <v>84</v>
      </c>
      <c r="F39" s="3">
        <v>30</v>
      </c>
      <c r="G39" s="3">
        <f t="shared" si="2"/>
        <v>313.5</v>
      </c>
      <c r="H39" s="3">
        <v>30</v>
      </c>
      <c r="I39" s="3">
        <v>49.87</v>
      </c>
      <c r="J39" s="3">
        <v>20</v>
      </c>
      <c r="K39" s="3">
        <v>7.5</v>
      </c>
      <c r="L39" s="3">
        <f>I39+J39+K39</f>
        <v>77.37</v>
      </c>
      <c r="M39" s="3">
        <v>7.5</v>
      </c>
      <c r="N39" s="3">
        <v>150.63</v>
      </c>
      <c r="O39" s="3">
        <v>63</v>
      </c>
      <c r="P39" s="3">
        <v>22.5</v>
      </c>
      <c r="Q39" s="2">
        <f t="shared" si="4"/>
        <v>236.13</v>
      </c>
      <c r="R39" s="3">
        <v>22.5</v>
      </c>
      <c r="S39" s="14">
        <f>G39-L39-Q39</f>
        <v>0</v>
      </c>
      <c r="T39" s="79">
        <f t="shared" si="0"/>
        <v>0</v>
      </c>
      <c r="U39" s="80">
        <f t="shared" si="1"/>
        <v>0</v>
      </c>
    </row>
    <row r="40" spans="1:21" s="81" customFormat="1" ht="30">
      <c r="A40" s="15">
        <v>33</v>
      </c>
      <c r="B40" s="16" t="s">
        <v>299</v>
      </c>
      <c r="C40" s="13" t="s">
        <v>300</v>
      </c>
      <c r="D40" s="3">
        <v>102</v>
      </c>
      <c r="E40" s="3">
        <v>63.06</v>
      </c>
      <c r="F40" s="3">
        <v>17</v>
      </c>
      <c r="G40" s="3">
        <f t="shared" si="2"/>
        <v>182.06</v>
      </c>
      <c r="H40" s="3">
        <v>0</v>
      </c>
      <c r="I40" s="3">
        <v>102</v>
      </c>
      <c r="J40" s="3">
        <v>63.06</v>
      </c>
      <c r="K40" s="3">
        <v>17</v>
      </c>
      <c r="L40" s="3">
        <f t="shared" si="3"/>
        <v>182.06</v>
      </c>
      <c r="M40" s="3">
        <v>0</v>
      </c>
      <c r="N40" s="15"/>
      <c r="O40" s="15"/>
      <c r="P40" s="15"/>
      <c r="Q40" s="2">
        <f t="shared" si="4"/>
        <v>0</v>
      </c>
      <c r="R40" s="15"/>
      <c r="S40" s="14">
        <f>G40-L40-Q40</f>
        <v>0</v>
      </c>
      <c r="T40" s="79">
        <f t="shared" si="0"/>
        <v>0</v>
      </c>
      <c r="U40" s="80">
        <f t="shared" si="1"/>
        <v>0</v>
      </c>
    </row>
    <row r="41" spans="1:21" ht="15">
      <c r="A41" s="15">
        <v>34</v>
      </c>
      <c r="B41" s="16" t="s">
        <v>89</v>
      </c>
      <c r="C41" s="13" t="s">
        <v>90</v>
      </c>
      <c r="D41" s="3">
        <v>623.28</v>
      </c>
      <c r="E41" s="3">
        <v>210.4</v>
      </c>
      <c r="F41" s="3">
        <v>27</v>
      </c>
      <c r="G41" s="3">
        <f t="shared" si="2"/>
        <v>860.68</v>
      </c>
      <c r="H41" s="3">
        <v>60</v>
      </c>
      <c r="I41" s="15">
        <v>155.82</v>
      </c>
      <c r="J41" s="15">
        <v>52.6</v>
      </c>
      <c r="K41" s="15">
        <v>6.75</v>
      </c>
      <c r="L41" s="3">
        <f t="shared" si="3"/>
        <v>215.17</v>
      </c>
      <c r="M41" s="15">
        <v>15</v>
      </c>
      <c r="N41" s="15">
        <v>467.46</v>
      </c>
      <c r="O41" s="15">
        <v>157.8</v>
      </c>
      <c r="P41" s="15">
        <v>20.25</v>
      </c>
      <c r="Q41" s="2">
        <f t="shared" si="4"/>
        <v>645.51</v>
      </c>
      <c r="R41" s="15">
        <v>45</v>
      </c>
      <c r="S41" s="14">
        <f>G41-L41-Q41</f>
        <v>0</v>
      </c>
      <c r="T41" s="79">
        <f t="shared" si="0"/>
        <v>-1.1368683772161603E-13</v>
      </c>
      <c r="U41" s="80">
        <f t="shared" si="1"/>
        <v>0</v>
      </c>
    </row>
    <row r="42" spans="1:21" ht="30">
      <c r="A42" s="15">
        <v>35</v>
      </c>
      <c r="B42" s="13" t="s">
        <v>95</v>
      </c>
      <c r="C42" s="13" t="s">
        <v>96</v>
      </c>
      <c r="D42" s="40">
        <v>13.5</v>
      </c>
      <c r="E42" s="3">
        <v>56</v>
      </c>
      <c r="F42" s="3">
        <v>2</v>
      </c>
      <c r="G42" s="3">
        <f t="shared" si="2"/>
        <v>71.5</v>
      </c>
      <c r="H42" s="3">
        <v>0</v>
      </c>
      <c r="I42" s="3">
        <v>13.5</v>
      </c>
      <c r="J42" s="3">
        <v>56</v>
      </c>
      <c r="K42" s="3">
        <v>2</v>
      </c>
      <c r="L42" s="3">
        <f t="shared" si="3"/>
        <v>71.5</v>
      </c>
      <c r="M42" s="3"/>
      <c r="N42" s="15"/>
      <c r="O42" s="15"/>
      <c r="P42" s="15"/>
      <c r="Q42" s="2">
        <f t="shared" si="4"/>
        <v>0</v>
      </c>
      <c r="R42" s="15"/>
      <c r="S42" s="14">
        <f>G42-L42-Q42</f>
        <v>0</v>
      </c>
      <c r="T42" s="79">
        <f t="shared" si="0"/>
        <v>0</v>
      </c>
      <c r="U42" s="80">
        <f t="shared" si="1"/>
        <v>0</v>
      </c>
    </row>
    <row r="43" spans="1:21" ht="15">
      <c r="A43" s="15">
        <v>36</v>
      </c>
      <c r="B43" s="13" t="s">
        <v>243</v>
      </c>
      <c r="C43" s="13" t="s">
        <v>242</v>
      </c>
      <c r="D43" s="3">
        <v>158.91</v>
      </c>
      <c r="E43" s="3">
        <v>86</v>
      </c>
      <c r="F43" s="3">
        <v>4</v>
      </c>
      <c r="G43" s="3">
        <f t="shared" si="2"/>
        <v>248.91</v>
      </c>
      <c r="H43" s="3"/>
      <c r="I43" s="3">
        <v>158.91</v>
      </c>
      <c r="J43" s="3">
        <v>86</v>
      </c>
      <c r="K43" s="3">
        <v>4</v>
      </c>
      <c r="L43" s="3">
        <f t="shared" si="3"/>
        <v>248.91</v>
      </c>
      <c r="M43" s="15"/>
      <c r="N43" s="15"/>
      <c r="O43" s="15"/>
      <c r="P43" s="15"/>
      <c r="Q43" s="2">
        <f t="shared" si="4"/>
        <v>0</v>
      </c>
      <c r="R43" s="15"/>
      <c r="S43" s="15"/>
      <c r="T43" s="79">
        <f t="shared" si="0"/>
        <v>0</v>
      </c>
      <c r="U43" s="80">
        <f t="shared" si="1"/>
        <v>0</v>
      </c>
    </row>
    <row r="44" spans="1:21" ht="30">
      <c r="A44" s="15">
        <v>37</v>
      </c>
      <c r="B44" s="16" t="s">
        <v>97</v>
      </c>
      <c r="C44" s="13" t="s">
        <v>98</v>
      </c>
      <c r="D44" s="3">
        <v>85.5</v>
      </c>
      <c r="E44" s="3">
        <v>40</v>
      </c>
      <c r="F44" s="3">
        <v>17</v>
      </c>
      <c r="G44" s="3">
        <f t="shared" si="2"/>
        <v>142.5</v>
      </c>
      <c r="H44" s="3">
        <v>0</v>
      </c>
      <c r="I44" s="3">
        <v>85.5</v>
      </c>
      <c r="J44" s="3">
        <v>40</v>
      </c>
      <c r="K44" s="3">
        <v>17</v>
      </c>
      <c r="L44" s="3">
        <f t="shared" si="3"/>
        <v>142.5</v>
      </c>
      <c r="M44" s="3"/>
      <c r="N44" s="15"/>
      <c r="O44" s="15"/>
      <c r="P44" s="15"/>
      <c r="Q44" s="2">
        <f t="shared" si="4"/>
        <v>0</v>
      </c>
      <c r="R44" s="15"/>
      <c r="S44" s="14">
        <f>G44-L44-Q44</f>
        <v>0</v>
      </c>
      <c r="T44" s="79">
        <f t="shared" si="0"/>
        <v>0</v>
      </c>
      <c r="U44" s="80">
        <f t="shared" si="1"/>
        <v>0</v>
      </c>
    </row>
    <row r="45" spans="1:21" ht="15">
      <c r="A45" s="15">
        <v>38</v>
      </c>
      <c r="B45" s="16" t="s">
        <v>99</v>
      </c>
      <c r="C45" s="13" t="s">
        <v>100</v>
      </c>
      <c r="D45" s="3">
        <v>169.58</v>
      </c>
      <c r="E45" s="3">
        <v>146.33</v>
      </c>
      <c r="F45" s="3">
        <v>22</v>
      </c>
      <c r="G45" s="3">
        <f t="shared" si="2"/>
        <v>337.91</v>
      </c>
      <c r="H45" s="3">
        <v>30</v>
      </c>
      <c r="I45" s="15">
        <v>169.58</v>
      </c>
      <c r="J45" s="15">
        <v>146.33</v>
      </c>
      <c r="K45" s="15">
        <v>22</v>
      </c>
      <c r="L45" s="3">
        <f t="shared" si="3"/>
        <v>337.91</v>
      </c>
      <c r="M45" s="15">
        <v>30</v>
      </c>
      <c r="N45" s="15"/>
      <c r="O45" s="15"/>
      <c r="P45" s="15"/>
      <c r="Q45" s="2">
        <f t="shared" si="4"/>
        <v>0</v>
      </c>
      <c r="R45" s="15"/>
      <c r="S45" s="14">
        <f>G45-L45-Q45</f>
        <v>0</v>
      </c>
      <c r="T45" s="79">
        <f t="shared" si="0"/>
        <v>0</v>
      </c>
      <c r="U45" s="80">
        <f t="shared" si="1"/>
        <v>0</v>
      </c>
    </row>
    <row r="46" spans="1:21" ht="14.25" customHeight="1">
      <c r="A46" s="15">
        <v>39</v>
      </c>
      <c r="B46" s="16" t="s">
        <v>330</v>
      </c>
      <c r="C46" s="13" t="s">
        <v>331</v>
      </c>
      <c r="D46" s="3">
        <f>848.4+475+227+455</f>
        <v>2005.4</v>
      </c>
      <c r="E46" s="3">
        <f>197.7+113.4+155.2+161</f>
        <v>627.3</v>
      </c>
      <c r="F46" s="3">
        <f>35+12*3</f>
        <v>71</v>
      </c>
      <c r="G46" s="3">
        <f t="shared" si="2"/>
        <v>2703.7</v>
      </c>
      <c r="H46" s="3">
        <f>60*4</f>
        <v>240</v>
      </c>
      <c r="I46" s="14">
        <v>182.4</v>
      </c>
      <c r="J46" s="14">
        <v>49.42</v>
      </c>
      <c r="K46" s="14">
        <v>8.75</v>
      </c>
      <c r="L46" s="3">
        <f t="shared" si="3"/>
        <v>240.57</v>
      </c>
      <c r="M46" s="14">
        <v>15</v>
      </c>
      <c r="N46" s="14">
        <f>D46-I46</f>
        <v>1823</v>
      </c>
      <c r="O46" s="14">
        <f>E46-J46</f>
        <v>577.88</v>
      </c>
      <c r="P46" s="14">
        <f>F46-K46</f>
        <v>62.25</v>
      </c>
      <c r="Q46" s="15">
        <f>SUM(N46:P46)</f>
        <v>2463.13</v>
      </c>
      <c r="R46" s="14">
        <f>H46-M46</f>
        <v>225</v>
      </c>
      <c r="S46" s="83" t="s">
        <v>332</v>
      </c>
      <c r="T46" s="80">
        <f t="shared" si="0"/>
        <v>-3.410605131648481E-13</v>
      </c>
      <c r="U46" s="80">
        <f t="shared" si="1"/>
        <v>0</v>
      </c>
    </row>
    <row r="47" spans="1:21" ht="30">
      <c r="A47" s="15">
        <v>40</v>
      </c>
      <c r="B47" s="13" t="s">
        <v>248</v>
      </c>
      <c r="C47" s="13" t="s">
        <v>247</v>
      </c>
      <c r="D47" s="3">
        <v>512</v>
      </c>
      <c r="E47" s="3">
        <v>114</v>
      </c>
      <c r="F47" s="3">
        <v>42</v>
      </c>
      <c r="G47" s="3">
        <f t="shared" si="2"/>
        <v>668</v>
      </c>
      <c r="H47" s="3"/>
      <c r="I47" s="15"/>
      <c r="J47" s="15"/>
      <c r="K47" s="15"/>
      <c r="L47" s="3">
        <f t="shared" si="3"/>
        <v>0</v>
      </c>
      <c r="M47" s="15"/>
      <c r="N47" s="3">
        <v>512</v>
      </c>
      <c r="O47" s="3">
        <v>114</v>
      </c>
      <c r="P47" s="3">
        <v>42</v>
      </c>
      <c r="Q47" s="2">
        <f t="shared" si="4"/>
        <v>668</v>
      </c>
      <c r="R47" s="15"/>
      <c r="S47" s="15"/>
      <c r="T47" s="79">
        <f t="shared" si="0"/>
        <v>0</v>
      </c>
      <c r="U47" s="80">
        <f t="shared" si="1"/>
        <v>0</v>
      </c>
    </row>
    <row r="48" spans="1:21" ht="15">
      <c r="A48" s="15">
        <v>41</v>
      </c>
      <c r="B48" s="16" t="s">
        <v>245</v>
      </c>
      <c r="C48" s="13" t="s">
        <v>244</v>
      </c>
      <c r="D48" s="3">
        <v>169</v>
      </c>
      <c r="E48" s="3">
        <v>145</v>
      </c>
      <c r="F48" s="3">
        <v>35</v>
      </c>
      <c r="G48" s="3">
        <f t="shared" si="2"/>
        <v>349</v>
      </c>
      <c r="H48" s="3">
        <v>30</v>
      </c>
      <c r="I48" s="3">
        <v>169</v>
      </c>
      <c r="J48" s="3">
        <v>145</v>
      </c>
      <c r="K48" s="3">
        <v>35</v>
      </c>
      <c r="L48" s="3">
        <f t="shared" si="3"/>
        <v>349</v>
      </c>
      <c r="M48" s="3">
        <v>30</v>
      </c>
      <c r="N48" s="15"/>
      <c r="O48" s="15"/>
      <c r="P48" s="15"/>
      <c r="Q48" s="2">
        <f t="shared" si="4"/>
        <v>0</v>
      </c>
      <c r="R48" s="15"/>
      <c r="S48" s="15"/>
      <c r="T48" s="79">
        <f t="shared" si="0"/>
        <v>0</v>
      </c>
      <c r="U48" s="80">
        <f t="shared" si="1"/>
        <v>0</v>
      </c>
    </row>
    <row r="49" spans="1:21" ht="30">
      <c r="A49" s="15">
        <v>42</v>
      </c>
      <c r="B49" s="16" t="s">
        <v>264</v>
      </c>
      <c r="C49" s="13" t="s">
        <v>263</v>
      </c>
      <c r="D49" s="3">
        <v>646.5</v>
      </c>
      <c r="E49" s="3">
        <v>147</v>
      </c>
      <c r="F49" s="3">
        <v>7</v>
      </c>
      <c r="G49" s="3">
        <f t="shared" si="2"/>
        <v>800.5</v>
      </c>
      <c r="H49" s="3"/>
      <c r="I49" s="14">
        <f>D49*0.25</f>
        <v>161.625</v>
      </c>
      <c r="J49" s="14">
        <f>E49*0.25</f>
        <v>36.75</v>
      </c>
      <c r="K49" s="14">
        <f>7*0.25</f>
        <v>1.75</v>
      </c>
      <c r="L49" s="3">
        <f t="shared" si="3"/>
        <v>200.125</v>
      </c>
      <c r="M49" s="15"/>
      <c r="N49" s="84">
        <f>D49*0.75</f>
        <v>484.875</v>
      </c>
      <c r="O49" s="84">
        <f>E49*0.75</f>
        <v>110.25</v>
      </c>
      <c r="P49" s="84">
        <f>7*0.75</f>
        <v>5.25</v>
      </c>
      <c r="Q49" s="2">
        <f t="shared" si="4"/>
        <v>600.375</v>
      </c>
      <c r="S49" s="15"/>
      <c r="T49" s="79">
        <f t="shared" si="0"/>
        <v>0</v>
      </c>
      <c r="U49" s="80">
        <f t="shared" si="1"/>
        <v>0</v>
      </c>
    </row>
    <row r="50" spans="1:21" ht="15">
      <c r="A50" s="15">
        <v>43</v>
      </c>
      <c r="B50" s="16" t="s">
        <v>107</v>
      </c>
      <c r="C50" s="16" t="s">
        <v>108</v>
      </c>
      <c r="D50" s="3">
        <v>1373</v>
      </c>
      <c r="E50" s="3">
        <v>396.87</v>
      </c>
      <c r="F50" s="3">
        <v>35</v>
      </c>
      <c r="G50" s="3">
        <f t="shared" si="2"/>
        <v>1804.87</v>
      </c>
      <c r="H50" s="3">
        <v>60</v>
      </c>
      <c r="I50" s="15">
        <v>343.25</v>
      </c>
      <c r="J50" s="15">
        <v>99.22</v>
      </c>
      <c r="K50" s="15">
        <v>8.75</v>
      </c>
      <c r="L50" s="3">
        <f t="shared" si="3"/>
        <v>451.22</v>
      </c>
      <c r="M50" s="15">
        <v>15</v>
      </c>
      <c r="N50" s="14">
        <v>1029.75</v>
      </c>
      <c r="O50" s="14">
        <v>297.65</v>
      </c>
      <c r="P50" s="14">
        <v>26.25</v>
      </c>
      <c r="Q50" s="2">
        <f t="shared" si="4"/>
        <v>1353.65</v>
      </c>
      <c r="R50" s="15">
        <v>45</v>
      </c>
      <c r="S50" s="14">
        <f>G50-L50-Q50</f>
        <v>0</v>
      </c>
      <c r="T50" s="79">
        <f t="shared" si="0"/>
        <v>-1.1368683772161603E-13</v>
      </c>
      <c r="U50" s="80">
        <f t="shared" si="1"/>
        <v>0</v>
      </c>
    </row>
    <row r="51" spans="1:21" ht="15">
      <c r="A51" s="15">
        <v>44</v>
      </c>
      <c r="B51" s="16" t="s">
        <v>333</v>
      </c>
      <c r="C51" s="16" t="s">
        <v>334</v>
      </c>
      <c r="D51" s="3">
        <f>676+450</f>
        <v>1126</v>
      </c>
      <c r="E51" s="3">
        <f>168+48</f>
        <v>216</v>
      </c>
      <c r="F51" s="3">
        <f>35+12</f>
        <v>47</v>
      </c>
      <c r="G51" s="3">
        <f t="shared" si="2"/>
        <v>1389</v>
      </c>
      <c r="H51" s="3">
        <v>60</v>
      </c>
      <c r="I51" s="15"/>
      <c r="J51" s="15"/>
      <c r="K51" s="15"/>
      <c r="L51" s="3">
        <f t="shared" si="3"/>
        <v>0</v>
      </c>
      <c r="M51" s="3"/>
      <c r="N51" s="3">
        <f>676+450</f>
        <v>1126</v>
      </c>
      <c r="O51" s="3">
        <f>168+48</f>
        <v>216</v>
      </c>
      <c r="P51" s="3">
        <f>35+12</f>
        <v>47</v>
      </c>
      <c r="Q51" s="2">
        <f t="shared" si="4"/>
        <v>1389</v>
      </c>
      <c r="R51" s="3">
        <v>60</v>
      </c>
      <c r="S51" s="14" t="s">
        <v>335</v>
      </c>
      <c r="T51" s="79">
        <f t="shared" si="0"/>
        <v>0</v>
      </c>
      <c r="U51" s="80">
        <f t="shared" si="1"/>
        <v>0</v>
      </c>
    </row>
    <row r="52" spans="1:21" ht="15">
      <c r="A52" s="15">
        <v>45</v>
      </c>
      <c r="B52" s="16" t="s">
        <v>109</v>
      </c>
      <c r="C52" s="16" t="s">
        <v>110</v>
      </c>
      <c r="D52" s="3">
        <v>1320</v>
      </c>
      <c r="E52" s="3">
        <v>400</v>
      </c>
      <c r="F52" s="3">
        <v>39</v>
      </c>
      <c r="G52" s="3">
        <f t="shared" si="2"/>
        <v>1759</v>
      </c>
      <c r="H52" s="3">
        <v>120</v>
      </c>
      <c r="I52" s="14">
        <f>D52*0.25</f>
        <v>330</v>
      </c>
      <c r="J52" s="14">
        <f>E52*0.25</f>
        <v>100</v>
      </c>
      <c r="K52" s="14">
        <f>F52*0.25</f>
        <v>9.75</v>
      </c>
      <c r="L52" s="3">
        <f t="shared" si="3"/>
        <v>439.75</v>
      </c>
      <c r="M52" s="3">
        <v>30</v>
      </c>
      <c r="N52" s="14">
        <f>D52*0.75</f>
        <v>990</v>
      </c>
      <c r="O52" s="14">
        <f>E52*0.75</f>
        <v>300</v>
      </c>
      <c r="P52" s="14">
        <f>F52*0.75</f>
        <v>29.25</v>
      </c>
      <c r="Q52" s="2">
        <f t="shared" si="4"/>
        <v>1319.25</v>
      </c>
      <c r="R52" s="15">
        <v>90</v>
      </c>
      <c r="S52" s="14" t="s">
        <v>156</v>
      </c>
      <c r="T52" s="80">
        <f t="shared" si="0"/>
        <v>0</v>
      </c>
      <c r="U52" s="80">
        <f t="shared" si="1"/>
        <v>0</v>
      </c>
    </row>
    <row r="53" spans="1:21" ht="15">
      <c r="A53" s="15">
        <v>46</v>
      </c>
      <c r="B53" s="16" t="s">
        <v>111</v>
      </c>
      <c r="C53" s="16" t="s">
        <v>112</v>
      </c>
      <c r="D53" s="3">
        <v>841.5</v>
      </c>
      <c r="E53" s="3">
        <v>309</v>
      </c>
      <c r="F53" s="3">
        <v>30</v>
      </c>
      <c r="G53" s="3">
        <f t="shared" si="2"/>
        <v>1180.5</v>
      </c>
      <c r="H53" s="3">
        <v>30</v>
      </c>
      <c r="I53" s="15">
        <v>210.37</v>
      </c>
      <c r="J53" s="15">
        <v>77.25</v>
      </c>
      <c r="K53" s="15">
        <v>7.5</v>
      </c>
      <c r="L53" s="3">
        <f t="shared" si="3"/>
        <v>295.12</v>
      </c>
      <c r="M53" s="15">
        <v>7.5</v>
      </c>
      <c r="N53" s="14">
        <v>631.13</v>
      </c>
      <c r="O53" s="14">
        <v>231.75</v>
      </c>
      <c r="P53" s="15">
        <v>22.5</v>
      </c>
      <c r="Q53" s="2">
        <f t="shared" si="4"/>
        <v>885.38</v>
      </c>
      <c r="R53" s="15">
        <v>22.5</v>
      </c>
      <c r="S53" s="14">
        <f>G53-L53-Q53</f>
        <v>0</v>
      </c>
      <c r="T53" s="79">
        <f t="shared" si="0"/>
        <v>0</v>
      </c>
      <c r="U53" s="80">
        <f t="shared" si="1"/>
        <v>0</v>
      </c>
    </row>
    <row r="54" spans="1:21" ht="15">
      <c r="A54" s="15">
        <v>47</v>
      </c>
      <c r="B54" s="16" t="s">
        <v>250</v>
      </c>
      <c r="C54" s="13" t="s">
        <v>249</v>
      </c>
      <c r="D54" s="3">
        <v>748</v>
      </c>
      <c r="E54" s="3">
        <v>118</v>
      </c>
      <c r="F54" s="3">
        <v>35</v>
      </c>
      <c r="G54" s="3">
        <f t="shared" si="2"/>
        <v>901</v>
      </c>
      <c r="H54" s="3">
        <v>30</v>
      </c>
      <c r="I54" s="14">
        <f>D54*0.25</f>
        <v>187</v>
      </c>
      <c r="J54" s="14">
        <f>E54*0.25</f>
        <v>29.5</v>
      </c>
      <c r="K54" s="14">
        <f>35*0.25</f>
        <v>8.75</v>
      </c>
      <c r="L54" s="3">
        <f t="shared" si="3"/>
        <v>225.25</v>
      </c>
      <c r="M54" s="15">
        <v>7.5</v>
      </c>
      <c r="N54" s="14">
        <f>D54*0.75</f>
        <v>561</v>
      </c>
      <c r="O54" s="14">
        <f>E54*0.75</f>
        <v>88.5</v>
      </c>
      <c r="P54" s="14">
        <f>F54*0.75</f>
        <v>26.25</v>
      </c>
      <c r="Q54" s="2">
        <f t="shared" si="4"/>
        <v>675.75</v>
      </c>
      <c r="R54" s="15">
        <f>0.75*30</f>
        <v>22.5</v>
      </c>
      <c r="S54" s="15"/>
      <c r="T54" s="79">
        <f t="shared" si="0"/>
        <v>0</v>
      </c>
      <c r="U54" s="80">
        <f t="shared" si="1"/>
        <v>0</v>
      </c>
    </row>
    <row r="55" spans="1:21" ht="15">
      <c r="A55" s="15">
        <v>48</v>
      </c>
      <c r="B55" s="16" t="s">
        <v>115</v>
      </c>
      <c r="C55" s="16" t="s">
        <v>116</v>
      </c>
      <c r="D55" s="3">
        <v>247.5</v>
      </c>
      <c r="E55" s="3">
        <v>113.5</v>
      </c>
      <c r="F55" s="3">
        <v>27</v>
      </c>
      <c r="G55" s="3">
        <f t="shared" si="2"/>
        <v>388</v>
      </c>
      <c r="H55" s="3">
        <v>60</v>
      </c>
      <c r="I55" s="3">
        <v>61.87</v>
      </c>
      <c r="J55" s="3">
        <v>28.38</v>
      </c>
      <c r="K55" s="3">
        <v>6.75</v>
      </c>
      <c r="L55" s="3">
        <f t="shared" si="3"/>
        <v>97</v>
      </c>
      <c r="M55" s="3">
        <v>15</v>
      </c>
      <c r="N55" s="15">
        <v>185.62</v>
      </c>
      <c r="O55" s="15">
        <v>85.13</v>
      </c>
      <c r="P55" s="15">
        <v>20.25</v>
      </c>
      <c r="Q55" s="2">
        <f t="shared" si="4"/>
        <v>291</v>
      </c>
      <c r="R55" s="15">
        <v>45</v>
      </c>
      <c r="S55" s="14">
        <f>G55-L55-Q55</f>
        <v>0</v>
      </c>
      <c r="T55" s="79">
        <f t="shared" si="0"/>
        <v>0</v>
      </c>
      <c r="U55" s="80">
        <f t="shared" si="1"/>
        <v>0</v>
      </c>
    </row>
    <row r="56" spans="1:21" ht="15">
      <c r="A56" s="15">
        <v>49</v>
      </c>
      <c r="B56" s="16" t="s">
        <v>119</v>
      </c>
      <c r="C56" s="16" t="s">
        <v>120</v>
      </c>
      <c r="D56" s="3">
        <v>30.5</v>
      </c>
      <c r="E56" s="3">
        <v>102</v>
      </c>
      <c r="F56" s="3">
        <v>12</v>
      </c>
      <c r="G56" s="3">
        <f t="shared" si="2"/>
        <v>144.5</v>
      </c>
      <c r="H56" s="3">
        <v>0</v>
      </c>
      <c r="I56" s="14">
        <v>30.5</v>
      </c>
      <c r="J56" s="14">
        <v>102</v>
      </c>
      <c r="K56" s="14">
        <v>12</v>
      </c>
      <c r="L56" s="3">
        <f t="shared" si="3"/>
        <v>144.5</v>
      </c>
      <c r="M56" s="15"/>
      <c r="N56" s="15"/>
      <c r="O56" s="15"/>
      <c r="P56" s="15"/>
      <c r="Q56" s="2">
        <f t="shared" si="4"/>
        <v>0</v>
      </c>
      <c r="R56" s="15"/>
      <c r="S56" s="14"/>
      <c r="T56" s="79">
        <f t="shared" si="0"/>
        <v>0</v>
      </c>
      <c r="U56" s="80">
        <f t="shared" si="1"/>
        <v>0</v>
      </c>
    </row>
    <row r="57" spans="1:21" ht="15">
      <c r="A57" s="15">
        <v>50</v>
      </c>
      <c r="B57" s="16" t="s">
        <v>126</v>
      </c>
      <c r="C57" s="13" t="s">
        <v>127</v>
      </c>
      <c r="D57" s="3">
        <v>669.9</v>
      </c>
      <c r="E57" s="3">
        <v>145</v>
      </c>
      <c r="F57" s="3">
        <v>22</v>
      </c>
      <c r="G57" s="3">
        <f t="shared" si="2"/>
        <v>836.9</v>
      </c>
      <c r="H57" s="3">
        <v>30</v>
      </c>
      <c r="I57" s="14">
        <f>D57*0.25</f>
        <v>167.475</v>
      </c>
      <c r="J57" s="14">
        <f>E57*0.25</f>
        <v>36.25</v>
      </c>
      <c r="K57" s="14">
        <f>F57*0.25</f>
        <v>5.5</v>
      </c>
      <c r="L57" s="3">
        <f t="shared" si="3"/>
        <v>209.225</v>
      </c>
      <c r="M57" s="3">
        <v>7.5</v>
      </c>
      <c r="N57" s="14">
        <v>502.42</v>
      </c>
      <c r="O57" s="14">
        <f>E57*0.75</f>
        <v>108.75</v>
      </c>
      <c r="P57" s="14">
        <f>F57*0.75</f>
        <v>16.5</v>
      </c>
      <c r="Q57" s="2">
        <f t="shared" si="4"/>
        <v>627.6700000000001</v>
      </c>
      <c r="R57" s="15">
        <v>22.5</v>
      </c>
      <c r="S57" s="14"/>
      <c r="T57" s="80">
        <f t="shared" si="0"/>
        <v>0.004999999999938609</v>
      </c>
      <c r="U57" s="80">
        <f t="shared" si="1"/>
        <v>0</v>
      </c>
    </row>
    <row r="58" spans="1:21" ht="30">
      <c r="A58" s="15">
        <v>51</v>
      </c>
      <c r="B58" s="16" t="s">
        <v>336</v>
      </c>
      <c r="C58" s="13" t="s">
        <v>337</v>
      </c>
      <c r="D58" s="3">
        <v>1042.5</v>
      </c>
      <c r="E58" s="3">
        <v>231.34</v>
      </c>
      <c r="F58" s="3">
        <v>35</v>
      </c>
      <c r="G58" s="3">
        <f t="shared" si="2"/>
        <v>1308.84</v>
      </c>
      <c r="H58" s="3">
        <v>60</v>
      </c>
      <c r="I58" s="14">
        <v>286.5</v>
      </c>
      <c r="J58" s="14">
        <v>57.83</v>
      </c>
      <c r="K58" s="14">
        <f>F58*0.25</f>
        <v>8.75</v>
      </c>
      <c r="L58" s="3">
        <f>I58+J58+K58</f>
        <v>353.08</v>
      </c>
      <c r="M58" s="14">
        <f>H58*0.25</f>
        <v>15</v>
      </c>
      <c r="N58" s="14">
        <f>D58-I58</f>
        <v>756</v>
      </c>
      <c r="O58" s="14">
        <f>E58-J58</f>
        <v>173.51</v>
      </c>
      <c r="P58" s="14">
        <f>F58-K58</f>
        <v>26.25</v>
      </c>
      <c r="Q58" s="15">
        <f>SUM(N58:P58)</f>
        <v>955.76</v>
      </c>
      <c r="R58" s="14">
        <f>H58-M58</f>
        <v>45</v>
      </c>
      <c r="S58" s="14"/>
      <c r="T58" s="79">
        <f t="shared" si="0"/>
        <v>-1.1368683772161603E-13</v>
      </c>
      <c r="U58" s="80">
        <f t="shared" si="1"/>
        <v>0</v>
      </c>
    </row>
    <row r="59" spans="1:21" ht="15">
      <c r="A59" s="15">
        <v>52</v>
      </c>
      <c r="B59" s="16" t="s">
        <v>128</v>
      </c>
      <c r="C59" s="13" t="s">
        <v>129</v>
      </c>
      <c r="D59" s="3">
        <v>0</v>
      </c>
      <c r="E59" s="3">
        <v>38</v>
      </c>
      <c r="F59" s="3">
        <v>2</v>
      </c>
      <c r="G59" s="3">
        <f t="shared" si="2"/>
        <v>40</v>
      </c>
      <c r="H59" s="3">
        <v>0</v>
      </c>
      <c r="I59" s="3">
        <v>0</v>
      </c>
      <c r="J59" s="3">
        <v>38</v>
      </c>
      <c r="K59" s="3">
        <v>2</v>
      </c>
      <c r="L59" s="3">
        <f t="shared" si="3"/>
        <v>40</v>
      </c>
      <c r="M59" s="15"/>
      <c r="N59" s="15"/>
      <c r="O59" s="15"/>
      <c r="P59" s="15"/>
      <c r="Q59" s="2">
        <f t="shared" si="4"/>
        <v>0</v>
      </c>
      <c r="R59" s="15"/>
      <c r="S59" s="14"/>
      <c r="T59" s="79">
        <f t="shared" si="0"/>
        <v>0</v>
      </c>
      <c r="U59" s="80">
        <f t="shared" si="1"/>
        <v>0</v>
      </c>
    </row>
    <row r="60" spans="1:21" ht="30">
      <c r="A60" s="15">
        <v>53</v>
      </c>
      <c r="B60" s="16" t="s">
        <v>338</v>
      </c>
      <c r="C60" s="13" t="s">
        <v>339</v>
      </c>
      <c r="D60" s="3">
        <f>455+365</f>
        <v>820</v>
      </c>
      <c r="E60" s="3">
        <f>108.6+104.33</f>
        <v>212.93</v>
      </c>
      <c r="F60" s="3">
        <f>20+12</f>
        <v>32</v>
      </c>
      <c r="G60" s="3">
        <f t="shared" si="2"/>
        <v>1064.93</v>
      </c>
      <c r="H60" s="3">
        <f>30*2</f>
        <v>60</v>
      </c>
      <c r="I60" s="15"/>
      <c r="J60" s="15"/>
      <c r="K60" s="15"/>
      <c r="L60" s="3">
        <f t="shared" si="3"/>
        <v>0</v>
      </c>
      <c r="M60" s="3"/>
      <c r="N60" s="3">
        <f>455+365</f>
        <v>820</v>
      </c>
      <c r="O60" s="3">
        <f>108.6+104.33</f>
        <v>212.93</v>
      </c>
      <c r="P60" s="3">
        <f>20+12</f>
        <v>32</v>
      </c>
      <c r="Q60" s="2">
        <f t="shared" si="4"/>
        <v>1064.93</v>
      </c>
      <c r="R60" s="3">
        <f>30*2</f>
        <v>60</v>
      </c>
      <c r="S60" s="83" t="s">
        <v>340</v>
      </c>
      <c r="T60" s="79">
        <f t="shared" si="0"/>
        <v>5.684341886080802E-14</v>
      </c>
      <c r="U60" s="80">
        <f t="shared" si="1"/>
        <v>0</v>
      </c>
    </row>
    <row r="61" spans="1:21" ht="15">
      <c r="A61" s="15">
        <v>54</v>
      </c>
      <c r="B61" s="16" t="s">
        <v>259</v>
      </c>
      <c r="C61" s="16" t="s">
        <v>265</v>
      </c>
      <c r="D61" s="3">
        <v>13</v>
      </c>
      <c r="E61" s="3">
        <v>283</v>
      </c>
      <c r="F61" s="3">
        <v>12</v>
      </c>
      <c r="G61" s="3">
        <f t="shared" si="2"/>
        <v>308</v>
      </c>
      <c r="H61" s="3"/>
      <c r="I61" s="3">
        <v>13</v>
      </c>
      <c r="J61" s="3">
        <v>283</v>
      </c>
      <c r="K61" s="3">
        <v>12</v>
      </c>
      <c r="L61" s="3">
        <f t="shared" si="3"/>
        <v>308</v>
      </c>
      <c r="M61" s="15"/>
      <c r="N61" s="14"/>
      <c r="O61" s="14"/>
      <c r="P61" s="14"/>
      <c r="Q61" s="2">
        <f t="shared" si="4"/>
        <v>0</v>
      </c>
      <c r="R61" s="15"/>
      <c r="S61" s="15"/>
      <c r="T61" s="79">
        <f t="shared" si="0"/>
        <v>0</v>
      </c>
      <c r="U61" s="80">
        <f t="shared" si="1"/>
        <v>0</v>
      </c>
    </row>
    <row r="62" spans="1:21" ht="15">
      <c r="A62" s="15">
        <v>55</v>
      </c>
      <c r="B62" s="16" t="s">
        <v>341</v>
      </c>
      <c r="C62" s="13" t="s">
        <v>342</v>
      </c>
      <c r="D62" s="3">
        <f>460+385.75</f>
        <v>845.75</v>
      </c>
      <c r="E62" s="3">
        <f>119.2+160</f>
        <v>279.2</v>
      </c>
      <c r="F62" s="3">
        <f>25+2</f>
        <v>27</v>
      </c>
      <c r="G62" s="3">
        <f t="shared" si="2"/>
        <v>1151.95</v>
      </c>
      <c r="H62" s="3">
        <f>60*2</f>
        <v>120</v>
      </c>
      <c r="I62" s="15"/>
      <c r="J62" s="15"/>
      <c r="K62" s="15"/>
      <c r="L62" s="3">
        <f t="shared" si="3"/>
        <v>0</v>
      </c>
      <c r="M62" s="3"/>
      <c r="N62" s="3">
        <f>460+385.75</f>
        <v>845.75</v>
      </c>
      <c r="O62" s="3">
        <f>119.2+160</f>
        <v>279.2</v>
      </c>
      <c r="P62" s="3">
        <f>25+2</f>
        <v>27</v>
      </c>
      <c r="Q62" s="2">
        <f t="shared" si="4"/>
        <v>1151.95</v>
      </c>
      <c r="R62" s="3">
        <f>60*2</f>
        <v>120</v>
      </c>
      <c r="S62" s="14"/>
      <c r="T62" s="79">
        <f t="shared" si="0"/>
        <v>5.684341886080802E-14</v>
      </c>
      <c r="U62" s="80">
        <f t="shared" si="1"/>
        <v>0</v>
      </c>
    </row>
    <row r="63" spans="1:21" ht="30">
      <c r="A63" s="15">
        <v>56</v>
      </c>
      <c r="B63" s="16" t="s">
        <v>262</v>
      </c>
      <c r="C63" s="13" t="s">
        <v>261</v>
      </c>
      <c r="D63" s="29">
        <v>0</v>
      </c>
      <c r="E63" s="3">
        <v>48</v>
      </c>
      <c r="F63" s="3">
        <v>12</v>
      </c>
      <c r="G63" s="3">
        <f t="shared" si="2"/>
        <v>60</v>
      </c>
      <c r="H63" s="3"/>
      <c r="I63" s="15"/>
      <c r="J63" s="15"/>
      <c r="K63" s="15"/>
      <c r="L63" s="3">
        <f t="shared" si="3"/>
        <v>0</v>
      </c>
      <c r="M63" s="15"/>
      <c r="N63" s="29">
        <v>0</v>
      </c>
      <c r="O63" s="3">
        <v>48</v>
      </c>
      <c r="P63" s="3">
        <v>12</v>
      </c>
      <c r="Q63" s="2">
        <f t="shared" si="4"/>
        <v>60</v>
      </c>
      <c r="R63" s="15"/>
      <c r="S63" s="15"/>
      <c r="T63" s="79">
        <f t="shared" si="0"/>
        <v>0</v>
      </c>
      <c r="U63" s="80">
        <f t="shared" si="1"/>
        <v>0</v>
      </c>
    </row>
    <row r="64" spans="1:21" ht="45">
      <c r="A64" s="15">
        <v>57</v>
      </c>
      <c r="B64" s="16" t="s">
        <v>138</v>
      </c>
      <c r="C64" s="17" t="s">
        <v>139</v>
      </c>
      <c r="D64" s="3">
        <v>0</v>
      </c>
      <c r="E64" s="3">
        <v>70</v>
      </c>
      <c r="F64" s="3">
        <v>2</v>
      </c>
      <c r="G64" s="3">
        <f t="shared" si="2"/>
        <v>72</v>
      </c>
      <c r="H64" s="3"/>
      <c r="I64" s="14">
        <f>D64*0.25</f>
        <v>0</v>
      </c>
      <c r="J64" s="14"/>
      <c r="K64" s="15"/>
      <c r="L64" s="3">
        <f t="shared" si="3"/>
        <v>0</v>
      </c>
      <c r="M64" s="3"/>
      <c r="N64" s="3">
        <v>0</v>
      </c>
      <c r="O64" s="3">
        <v>70</v>
      </c>
      <c r="P64" s="3">
        <v>2</v>
      </c>
      <c r="Q64" s="2">
        <f t="shared" si="4"/>
        <v>72</v>
      </c>
      <c r="R64" s="3"/>
      <c r="S64" s="14"/>
      <c r="T64" s="79">
        <f t="shared" si="0"/>
        <v>0</v>
      </c>
      <c r="U64" s="80">
        <f t="shared" si="1"/>
        <v>0</v>
      </c>
    </row>
    <row r="65" spans="1:21" ht="15">
      <c r="A65" s="15">
        <v>58</v>
      </c>
      <c r="B65" s="16" t="s">
        <v>140</v>
      </c>
      <c r="C65" s="17" t="s">
        <v>141</v>
      </c>
      <c r="D65" s="3">
        <v>970.8</v>
      </c>
      <c r="E65" s="3">
        <v>291.66</v>
      </c>
      <c r="F65" s="3">
        <v>34</v>
      </c>
      <c r="G65" s="3">
        <f t="shared" si="2"/>
        <v>1296.46</v>
      </c>
      <c r="H65" s="3">
        <v>60</v>
      </c>
      <c r="I65" s="15">
        <v>242.7</v>
      </c>
      <c r="J65" s="15">
        <v>72.91</v>
      </c>
      <c r="K65" s="15">
        <v>8.5</v>
      </c>
      <c r="L65" s="3">
        <f t="shared" si="3"/>
        <v>324.11</v>
      </c>
      <c r="M65" s="15">
        <v>15</v>
      </c>
      <c r="N65" s="15">
        <v>728.1</v>
      </c>
      <c r="O65" s="15">
        <v>218.75</v>
      </c>
      <c r="P65" s="15">
        <v>25.5</v>
      </c>
      <c r="Q65" s="2">
        <f t="shared" si="4"/>
        <v>972.35</v>
      </c>
      <c r="R65" s="15">
        <v>45</v>
      </c>
      <c r="S65" s="14"/>
      <c r="T65" s="79">
        <f t="shared" si="0"/>
        <v>0</v>
      </c>
      <c r="U65" s="80">
        <f t="shared" si="1"/>
        <v>0</v>
      </c>
    </row>
    <row r="66" spans="1:21" ht="30">
      <c r="A66" s="15">
        <v>59</v>
      </c>
      <c r="B66" s="13" t="s">
        <v>260</v>
      </c>
      <c r="C66" s="13" t="s">
        <v>268</v>
      </c>
      <c r="D66" s="3">
        <v>492</v>
      </c>
      <c r="E66" s="3">
        <v>168</v>
      </c>
      <c r="F66" s="3">
        <v>12</v>
      </c>
      <c r="G66" s="3">
        <f t="shared" si="2"/>
        <v>672</v>
      </c>
      <c r="H66" s="3"/>
      <c r="I66" s="14">
        <f>D66*0.25</f>
        <v>123</v>
      </c>
      <c r="J66" s="14">
        <f>E66*0.25</f>
        <v>42</v>
      </c>
      <c r="K66" s="14">
        <f>12*0.25</f>
        <v>3</v>
      </c>
      <c r="L66" s="3">
        <f t="shared" si="3"/>
        <v>168</v>
      </c>
      <c r="M66" s="15"/>
      <c r="N66" s="14">
        <f>D66*0.75</f>
        <v>369</v>
      </c>
      <c r="O66" s="14">
        <f>E66*0.75</f>
        <v>126</v>
      </c>
      <c r="P66" s="14">
        <f>F66*0.75</f>
        <v>9</v>
      </c>
      <c r="Q66" s="2">
        <f t="shared" si="4"/>
        <v>504</v>
      </c>
      <c r="R66" s="15"/>
      <c r="S66" s="15"/>
      <c r="T66" s="79">
        <f t="shared" si="0"/>
        <v>0</v>
      </c>
      <c r="U66" s="80">
        <f t="shared" si="1"/>
        <v>0</v>
      </c>
    </row>
    <row r="67" spans="1:21" ht="15">
      <c r="A67" s="15">
        <v>60</v>
      </c>
      <c r="B67" s="87" t="s">
        <v>269</v>
      </c>
      <c r="C67" s="42" t="s">
        <v>348</v>
      </c>
      <c r="D67" s="3">
        <v>285</v>
      </c>
      <c r="E67" s="3">
        <v>112</v>
      </c>
      <c r="F67" s="85">
        <v>10</v>
      </c>
      <c r="G67" s="3">
        <f t="shared" si="2"/>
        <v>407</v>
      </c>
      <c r="H67" s="3"/>
      <c r="I67" s="14"/>
      <c r="J67" s="14"/>
      <c r="K67" s="14"/>
      <c r="L67" s="3"/>
      <c r="M67" s="15"/>
      <c r="N67" s="3">
        <v>285</v>
      </c>
      <c r="O67" s="3">
        <v>112</v>
      </c>
      <c r="P67" s="85">
        <v>10</v>
      </c>
      <c r="Q67" s="2">
        <f t="shared" si="4"/>
        <v>407</v>
      </c>
      <c r="R67" s="15"/>
      <c r="S67" s="15"/>
      <c r="T67" s="79">
        <f t="shared" si="0"/>
        <v>0</v>
      </c>
      <c r="U67" s="80">
        <f t="shared" si="1"/>
        <v>0</v>
      </c>
    </row>
    <row r="68" spans="1:21" ht="15">
      <c r="A68" s="15">
        <v>61</v>
      </c>
      <c r="B68" s="16" t="s">
        <v>175</v>
      </c>
      <c r="C68" s="17" t="s">
        <v>176</v>
      </c>
      <c r="D68" s="3">
        <v>175</v>
      </c>
      <c r="E68" s="3">
        <v>99.67</v>
      </c>
      <c r="F68" s="3">
        <v>20</v>
      </c>
      <c r="G68" s="3">
        <f t="shared" si="2"/>
        <v>294.67</v>
      </c>
      <c r="H68" s="3"/>
      <c r="I68" s="15"/>
      <c r="J68" s="15"/>
      <c r="K68" s="15"/>
      <c r="L68" s="3">
        <f t="shared" si="3"/>
        <v>0</v>
      </c>
      <c r="M68" s="3"/>
      <c r="N68" s="3">
        <v>175</v>
      </c>
      <c r="O68" s="3">
        <v>99.67</v>
      </c>
      <c r="P68" s="3">
        <v>20</v>
      </c>
      <c r="Q68" s="2">
        <f t="shared" si="4"/>
        <v>294.67</v>
      </c>
      <c r="R68" s="15"/>
      <c r="S68" s="14"/>
      <c r="T68" s="79">
        <f t="shared" si="0"/>
        <v>0</v>
      </c>
      <c r="U68" s="80">
        <f t="shared" si="1"/>
        <v>0</v>
      </c>
    </row>
    <row r="69" spans="1:21" ht="15">
      <c r="A69" s="15">
        <v>62</v>
      </c>
      <c r="B69" s="16" t="s">
        <v>270</v>
      </c>
      <c r="C69" s="42" t="s">
        <v>347</v>
      </c>
      <c r="D69" s="3">
        <v>75.75</v>
      </c>
      <c r="E69" s="3">
        <v>184</v>
      </c>
      <c r="F69" s="3">
        <v>2</v>
      </c>
      <c r="G69" s="3">
        <f t="shared" si="2"/>
        <v>261.75</v>
      </c>
      <c r="H69" s="3">
        <v>30</v>
      </c>
      <c r="I69" s="14">
        <f>D69*0.25</f>
        <v>18.9375</v>
      </c>
      <c r="J69" s="14">
        <f>E69*0.25</f>
        <v>46</v>
      </c>
      <c r="K69" s="14">
        <f>2*0.25</f>
        <v>0.5</v>
      </c>
      <c r="L69" s="3">
        <f t="shared" si="3"/>
        <v>65.4375</v>
      </c>
      <c r="M69" s="15">
        <f>30*0.25</f>
        <v>7.5</v>
      </c>
      <c r="N69" s="14">
        <f>D69*0.75</f>
        <v>56.8125</v>
      </c>
      <c r="O69" s="14">
        <f>E69*0.75</f>
        <v>138</v>
      </c>
      <c r="P69" s="14">
        <f>F69*0.75</f>
        <v>1.5</v>
      </c>
      <c r="Q69" s="2">
        <f t="shared" si="4"/>
        <v>196.3125</v>
      </c>
      <c r="R69" s="15">
        <v>22.5</v>
      </c>
      <c r="S69" s="15"/>
      <c r="T69" s="79">
        <f t="shared" si="0"/>
        <v>0</v>
      </c>
      <c r="U69" s="80">
        <f t="shared" si="1"/>
        <v>0</v>
      </c>
    </row>
    <row r="70" spans="1:21" ht="30">
      <c r="A70" s="15">
        <v>63</v>
      </c>
      <c r="B70" s="16" t="s">
        <v>177</v>
      </c>
      <c r="C70" s="37" t="s">
        <v>178</v>
      </c>
      <c r="D70" s="3">
        <v>0</v>
      </c>
      <c r="E70" s="3">
        <v>125.6</v>
      </c>
      <c r="F70" s="3">
        <v>2</v>
      </c>
      <c r="G70" s="3">
        <f t="shared" si="2"/>
        <v>127.6</v>
      </c>
      <c r="H70" s="3">
        <v>0</v>
      </c>
      <c r="I70" s="15">
        <v>0</v>
      </c>
      <c r="J70" s="15">
        <v>31.4</v>
      </c>
      <c r="K70" s="3">
        <v>0.5</v>
      </c>
      <c r="L70" s="3">
        <f t="shared" si="3"/>
        <v>31.9</v>
      </c>
      <c r="M70" s="3">
        <v>0</v>
      </c>
      <c r="N70" s="3">
        <v>0</v>
      </c>
      <c r="O70" s="3">
        <v>94.2</v>
      </c>
      <c r="P70" s="15">
        <v>1.5</v>
      </c>
      <c r="Q70" s="2">
        <f t="shared" si="4"/>
        <v>95.7</v>
      </c>
      <c r="R70" s="15"/>
      <c r="S70" s="14"/>
      <c r="T70" s="79">
        <f t="shared" si="0"/>
        <v>-1.4210854715202004E-14</v>
      </c>
      <c r="U70" s="80">
        <f t="shared" si="1"/>
        <v>0</v>
      </c>
    </row>
    <row r="71" spans="1:21" ht="15">
      <c r="A71" s="15">
        <v>64</v>
      </c>
      <c r="B71" s="16" t="s">
        <v>343</v>
      </c>
      <c r="C71" s="17" t="s">
        <v>204</v>
      </c>
      <c r="D71" s="3">
        <v>270</v>
      </c>
      <c r="E71" s="3">
        <v>62</v>
      </c>
      <c r="F71" s="3">
        <v>35</v>
      </c>
      <c r="G71" s="3">
        <f t="shared" si="2"/>
        <v>367</v>
      </c>
      <c r="H71" s="3"/>
      <c r="I71" s="15"/>
      <c r="J71" s="15"/>
      <c r="K71" s="15"/>
      <c r="L71" s="3">
        <f t="shared" si="3"/>
        <v>0</v>
      </c>
      <c r="M71" s="3"/>
      <c r="N71" s="3">
        <v>270</v>
      </c>
      <c r="O71" s="3">
        <v>62</v>
      </c>
      <c r="P71" s="3">
        <v>35</v>
      </c>
      <c r="Q71" s="2">
        <f t="shared" si="4"/>
        <v>367</v>
      </c>
      <c r="R71" s="3"/>
      <c r="S71" s="14"/>
      <c r="T71" s="79">
        <f t="shared" si="0"/>
        <v>0</v>
      </c>
      <c r="U71" s="80">
        <f t="shared" si="1"/>
        <v>0</v>
      </c>
    </row>
    <row r="72" spans="1:19" ht="15.75">
      <c r="A72" s="50"/>
      <c r="B72" s="51"/>
      <c r="C72" s="52" t="s">
        <v>349</v>
      </c>
      <c r="D72" s="53">
        <f>SUM(D8:D71)</f>
        <v>35048.240000000005</v>
      </c>
      <c r="E72" s="53">
        <f aca="true" t="shared" si="7" ref="E72:R72">SUM(E8:E71)</f>
        <v>11970.670000000002</v>
      </c>
      <c r="F72" s="53">
        <f t="shared" si="7"/>
        <v>1613</v>
      </c>
      <c r="G72" s="53">
        <f t="shared" si="7"/>
        <v>48631.909999999996</v>
      </c>
      <c r="H72" s="53">
        <f t="shared" si="7"/>
        <v>1980</v>
      </c>
      <c r="I72" s="53">
        <f t="shared" si="7"/>
        <v>9056.9</v>
      </c>
      <c r="J72" s="53">
        <f t="shared" si="7"/>
        <v>4203.174999999999</v>
      </c>
      <c r="K72" s="53">
        <f t="shared" si="7"/>
        <v>656.75</v>
      </c>
      <c r="L72" s="53">
        <f t="shared" si="7"/>
        <v>13916.824999999999</v>
      </c>
      <c r="M72" s="53">
        <f t="shared" si="7"/>
        <v>525</v>
      </c>
      <c r="N72" s="53">
        <f t="shared" si="7"/>
        <v>25981.324999999997</v>
      </c>
      <c r="O72" s="53">
        <f t="shared" si="7"/>
        <v>7721.855</v>
      </c>
      <c r="P72" s="53">
        <f t="shared" si="7"/>
        <v>955.9</v>
      </c>
      <c r="Q72" s="53">
        <f t="shared" si="7"/>
        <v>34659.079999999994</v>
      </c>
      <c r="R72" s="53">
        <f t="shared" si="7"/>
        <v>1455</v>
      </c>
      <c r="S72" s="53"/>
    </row>
  </sheetData>
  <sheetProtection/>
  <mergeCells count="9">
    <mergeCell ref="M6:M7"/>
    <mergeCell ref="N6:Q6"/>
    <mergeCell ref="R6:R7"/>
    <mergeCell ref="A6:A7"/>
    <mergeCell ref="B6:B7"/>
    <mergeCell ref="C6:C7"/>
    <mergeCell ref="D6:G6"/>
    <mergeCell ref="H6:H7"/>
    <mergeCell ref="I6:L6"/>
  </mergeCells>
  <printOptions horizontalCentered="1"/>
  <pageMargins left="0" right="0" top="0.196850393700787" bottom="0.590551181102362" header="0.118110236220472" footer="0.118110236220472"/>
  <pageSetup fitToHeight="2" fitToWidth="1" horizontalDpi="600" verticalDpi="600" orientation="landscape" paperSize="9" scale="47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2018-03-16T09:50:54Z</cp:lastPrinted>
  <dcterms:created xsi:type="dcterms:W3CDTF">2017-05-09T11:13:03Z</dcterms:created>
  <dcterms:modified xsi:type="dcterms:W3CDTF">2018-05-15T15:24:42Z</dcterms:modified>
  <cp:category/>
  <cp:version/>
  <cp:contentType/>
  <cp:contentStatus/>
</cp:coreProperties>
</file>